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S:\Økonomiområdet\Forskerservice\Alice\"/>
    </mc:Choice>
  </mc:AlternateContent>
  <xr:revisionPtr revIDLastSave="0" documentId="13_ncr:1_{D616C99E-A6CD-4F2B-B6CB-DA39013786EB}" xr6:coauthVersionLast="47" xr6:coauthVersionMax="47" xr10:uidLastSave="{00000000-0000-0000-0000-000000000000}"/>
  <bookViews>
    <workbookView xWindow="28680" yWindow="-120" windowWidth="29040" windowHeight="17520" tabRatio="760" xr2:uid="{00000000-000D-0000-FFFF-FFFF00000000}"/>
  </bookViews>
  <sheets>
    <sheet name="Budget - uden udstyr" sheetId="48" r:id="rId1"/>
    <sheet name="Grønt budgetark" sheetId="50" r:id="rId2"/>
    <sheet name="Intern økonomi" sheetId="49" r:id="rId3"/>
    <sheet name="Kostpriser" sheetId="51" r:id="rId4"/>
  </sheets>
  <definedNames>
    <definedName name="afkrydsning">#REF!</definedName>
    <definedName name="institutionstyper">#REF!</definedName>
    <definedName name="kostprisVIP">#REF!</definedName>
    <definedName name="Titel">#REF!</definedName>
    <definedName name="TitelT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51" l="1"/>
  <c r="K29" i="51"/>
  <c r="K28" i="51"/>
  <c r="K15" i="51" l="1"/>
  <c r="F53" i="50"/>
  <c r="G53" i="50"/>
  <c r="H53" i="50"/>
  <c r="I53" i="50"/>
  <c r="F54" i="50"/>
  <c r="E54" i="50" s="1"/>
  <c r="G54" i="50"/>
  <c r="H54" i="50"/>
  <c r="I54" i="50"/>
  <c r="C7" i="50" l="1"/>
  <c r="C6" i="50"/>
  <c r="K34" i="48"/>
  <c r="K33" i="48"/>
  <c r="K32" i="48"/>
  <c r="L34" i="48"/>
  <c r="L33" i="48"/>
  <c r="L32" i="48"/>
  <c r="L25" i="48"/>
  <c r="L24" i="48"/>
  <c r="L23" i="48"/>
  <c r="L22" i="48"/>
  <c r="L21" i="48"/>
  <c r="L20" i="48"/>
  <c r="L19" i="48"/>
  <c r="L18" i="48"/>
  <c r="L17" i="48"/>
  <c r="L72" i="48" l="1"/>
  <c r="C16" i="48"/>
  <c r="D16" i="48"/>
  <c r="J16" i="48"/>
  <c r="K16" i="48"/>
  <c r="C17" i="48"/>
  <c r="D17" i="48"/>
  <c r="J17" i="48"/>
  <c r="K17" i="48"/>
  <c r="C18" i="48"/>
  <c r="D18" i="48"/>
  <c r="J18" i="48"/>
  <c r="K18" i="48"/>
  <c r="C19" i="48"/>
  <c r="D19" i="48"/>
  <c r="J19" i="48"/>
  <c r="K19" i="48"/>
  <c r="C20" i="48"/>
  <c r="D20" i="48"/>
  <c r="J20" i="48"/>
  <c r="K20" i="48"/>
  <c r="C21" i="48"/>
  <c r="D21" i="48"/>
  <c r="J21" i="48"/>
  <c r="K21" i="48"/>
  <c r="C22" i="48"/>
  <c r="D22" i="48"/>
  <c r="J22" i="48"/>
  <c r="K22" i="48"/>
  <c r="C23" i="48"/>
  <c r="D23" i="48"/>
  <c r="J23" i="48"/>
  <c r="K23" i="48"/>
  <c r="C24" i="48"/>
  <c r="D24" i="48"/>
  <c r="J24" i="48"/>
  <c r="K24" i="48"/>
  <c r="C25" i="48"/>
  <c r="D25" i="48"/>
  <c r="J25" i="48"/>
  <c r="K25" i="48"/>
  <c r="D27" i="48"/>
  <c r="D29" i="48"/>
  <c r="L16" i="48" l="1"/>
  <c r="D34" i="48"/>
  <c r="D33" i="48"/>
  <c r="D32" i="48"/>
  <c r="C34" i="48"/>
  <c r="C33" i="48"/>
  <c r="C32" i="48"/>
  <c r="E53" i="50" l="1"/>
  <c r="E23" i="50"/>
  <c r="E32" i="50"/>
  <c r="B27" i="49" l="1"/>
  <c r="B28" i="49"/>
  <c r="B29" i="49"/>
  <c r="B30" i="49"/>
  <c r="B31" i="49"/>
  <c r="B32" i="49"/>
  <c r="B33" i="49"/>
  <c r="B34" i="49"/>
  <c r="B35" i="49"/>
  <c r="B26" i="49"/>
  <c r="C27" i="49"/>
  <c r="C28" i="49"/>
  <c r="C29" i="49"/>
  <c r="C30" i="49"/>
  <c r="C31" i="49"/>
  <c r="C32" i="49"/>
  <c r="C33" i="49"/>
  <c r="C34" i="49"/>
  <c r="C35" i="49"/>
  <c r="C26" i="49"/>
  <c r="K4" i="51"/>
  <c r="K20" i="51"/>
  <c r="C13" i="50"/>
  <c r="C12" i="50"/>
  <c r="C10" i="50"/>
  <c r="F73" i="48"/>
  <c r="K12" i="51" l="1"/>
  <c r="K11" i="51"/>
  <c r="K10" i="51"/>
  <c r="K13" i="51"/>
  <c r="K9" i="51"/>
  <c r="K8" i="51"/>
  <c r="K7" i="51"/>
  <c r="K6" i="51"/>
  <c r="K5" i="51"/>
  <c r="K16" i="51"/>
  <c r="K14" i="51"/>
  <c r="K26" i="51"/>
  <c r="K25" i="51"/>
  <c r="K24" i="51"/>
  <c r="K21" i="51"/>
  <c r="K23" i="51"/>
  <c r="K22" i="51"/>
  <c r="E51" i="50"/>
  <c r="O51" i="50" s="1"/>
  <c r="E49" i="50"/>
  <c r="O49" i="50" s="1"/>
  <c r="E47" i="50"/>
  <c r="O47" i="50" s="1"/>
  <c r="E46" i="50"/>
  <c r="O46" i="50" s="1"/>
  <c r="E45" i="50"/>
  <c r="O45" i="50" s="1"/>
  <c r="E44" i="50"/>
  <c r="O44" i="50" s="1"/>
  <c r="O32" i="50"/>
  <c r="E31" i="50"/>
  <c r="O31" i="50" s="1"/>
  <c r="E30" i="50"/>
  <c r="O30" i="50" s="1"/>
  <c r="E25" i="50"/>
  <c r="O25" i="50" s="1"/>
  <c r="E22" i="50"/>
  <c r="O22" i="50" s="1"/>
  <c r="O23" i="50"/>
  <c r="K53" i="50"/>
  <c r="L53" i="50"/>
  <c r="M53" i="50"/>
  <c r="N53" i="50"/>
  <c r="J54" i="50"/>
  <c r="K54" i="50"/>
  <c r="L54" i="50"/>
  <c r="M54" i="50"/>
  <c r="N54" i="50"/>
  <c r="E18" i="50"/>
  <c r="F18" i="50" s="1"/>
  <c r="G18" i="50" s="1"/>
  <c r="H18" i="50" s="1"/>
  <c r="I18" i="50" s="1"/>
  <c r="J18" i="50" s="1"/>
  <c r="K18" i="50" s="1"/>
  <c r="L18" i="50" s="1"/>
  <c r="M18" i="50" s="1"/>
  <c r="N18" i="50" s="1"/>
  <c r="D58" i="48"/>
  <c r="D57" i="48"/>
  <c r="D53" i="48"/>
  <c r="D52" i="48"/>
  <c r="D50" i="48"/>
  <c r="D49" i="48"/>
  <c r="D48" i="48"/>
  <c r="D47" i="48"/>
  <c r="D46" i="48"/>
  <c r="D45" i="48"/>
  <c r="D44" i="48"/>
  <c r="D39" i="48"/>
  <c r="D38" i="48"/>
  <c r="D37" i="48"/>
  <c r="E35" i="49"/>
  <c r="E34" i="49"/>
  <c r="E33" i="49"/>
  <c r="E32" i="49"/>
  <c r="E31" i="49"/>
  <c r="E30" i="49"/>
  <c r="E29" i="49"/>
  <c r="E28" i="49"/>
  <c r="E27" i="49"/>
  <c r="O40" i="50"/>
  <c r="O39" i="50"/>
  <c r="O38" i="50"/>
  <c r="O37" i="50"/>
  <c r="O36" i="50"/>
  <c r="O35" i="50"/>
  <c r="O34" i="50"/>
  <c r="N56" i="50" l="1"/>
  <c r="E26" i="49"/>
  <c r="E16" i="49" s="1"/>
  <c r="M56" i="50"/>
  <c r="L56" i="50"/>
  <c r="K56" i="50"/>
  <c r="I56" i="50"/>
  <c r="G56" i="50"/>
  <c r="F56" i="50"/>
  <c r="J53" i="50"/>
  <c r="J56" i="50" s="1"/>
  <c r="H56" i="50"/>
  <c r="F68" i="48" l="1"/>
  <c r="E28" i="50" l="1"/>
  <c r="O28" i="50" s="1"/>
  <c r="L37" i="48"/>
  <c r="E29" i="50" s="1"/>
  <c r="L52" i="48"/>
  <c r="E48" i="50" s="1"/>
  <c r="O48" i="50" s="1"/>
  <c r="L46" i="48"/>
  <c r="E43" i="50" s="1"/>
  <c r="O43" i="50" s="1"/>
  <c r="L45" i="48"/>
  <c r="E42" i="50" s="1"/>
  <c r="O42" i="50" s="1"/>
  <c r="L44" i="48"/>
  <c r="E52" i="48"/>
  <c r="K31" i="48"/>
  <c r="I31" i="48"/>
  <c r="C4" i="49" l="1"/>
  <c r="L58" i="48"/>
  <c r="E41" i="50"/>
  <c r="E26" i="50"/>
  <c r="O26" i="50" s="1"/>
  <c r="E24" i="50"/>
  <c r="O24" i="50" s="1"/>
  <c r="E27" i="50"/>
  <c r="O27" i="50" s="1"/>
  <c r="O29" i="50"/>
  <c r="C3" i="49" l="1"/>
  <c r="C9" i="49" s="1"/>
  <c r="O41" i="50"/>
  <c r="O54" i="50"/>
  <c r="L57" i="48"/>
  <c r="L59" i="48" s="1"/>
  <c r="C5" i="49" s="1"/>
  <c r="E21" i="50"/>
  <c r="O21" i="50" s="1"/>
  <c r="L55" i="48"/>
  <c r="O53" i="50" l="1"/>
  <c r="L61" i="48"/>
  <c r="L65" i="48" s="1"/>
  <c r="F69" i="48" s="1"/>
  <c r="F70" i="48" s="1"/>
  <c r="F74" i="48" l="1"/>
  <c r="L74" i="48"/>
  <c r="E56" i="50"/>
  <c r="O56" i="50" s="1"/>
  <c r="E57" i="50" s="1"/>
  <c r="L68" i="48"/>
  <c r="L69" i="48" s="1"/>
  <c r="L73" i="48" s="1"/>
  <c r="C14" i="50"/>
  <c r="O57" i="50" l="1"/>
  <c r="L70" i="48"/>
  <c r="C6" i="49" l="1"/>
  <c r="C7" i="49" s="1"/>
  <c r="E14" i="49" s="1"/>
  <c r="E22" i="4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B4285A-009C-450B-B87D-A66AC696E462}" keepAlive="1" name="Forespørgsel - Tabel1" description="Forbindelse til forespørgslen 'Tabel1' i projektmappen." type="5" refreshedVersion="0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<sst xmlns="http://schemas.openxmlformats.org/spreadsheetml/2006/main" count="333" uniqueCount="228">
  <si>
    <t>I alt</t>
  </si>
  <si>
    <t>Budget</t>
  </si>
  <si>
    <t>Overhead</t>
  </si>
  <si>
    <t>Navn</t>
  </si>
  <si>
    <r>
      <rPr>
        <b/>
        <sz val="11"/>
        <color theme="1"/>
        <rFont val="Aptos"/>
        <family val="2"/>
      </rPr>
      <t>Bevillingsgiver</t>
    </r>
    <r>
      <rPr>
        <sz val="11"/>
        <color theme="1"/>
        <rFont val="Aptos"/>
        <family val="2"/>
      </rPr>
      <t xml:space="preserve"> </t>
    </r>
    <r>
      <rPr>
        <i/>
        <sz val="11"/>
        <color theme="1"/>
        <rFont val="Aptos"/>
        <family val="2"/>
      </rPr>
      <t>(virksomhed)</t>
    </r>
  </si>
  <si>
    <t>Antal kursusdage/timer</t>
  </si>
  <si>
    <t>Antal forløb</t>
  </si>
  <si>
    <t>Kostpris pr. forløb</t>
  </si>
  <si>
    <t>Analysenr.</t>
  </si>
  <si>
    <t>OH</t>
  </si>
  <si>
    <t>Timer for kørsel</t>
  </si>
  <si>
    <t>Timeløn</t>
  </si>
  <si>
    <t>Arbejdstimer i alt</t>
  </si>
  <si>
    <r>
      <t xml:space="preserve">Honoraraflønning </t>
    </r>
    <r>
      <rPr>
        <i/>
        <sz val="11"/>
        <color theme="1"/>
        <rFont val="Aptos"/>
        <family val="2"/>
      </rPr>
      <t>(ikke ansat på SDU)</t>
    </r>
  </si>
  <si>
    <t>AC, fuldmægtig</t>
  </si>
  <si>
    <t>Øvrig drift</t>
  </si>
  <si>
    <r>
      <t xml:space="preserve">Leje af lokale til undervisning (på SDU) - </t>
    </r>
    <r>
      <rPr>
        <i/>
        <sz val="11"/>
        <color theme="1"/>
        <rFont val="Aptos"/>
        <family val="2"/>
      </rPr>
      <t>pris kan fås ved henvendelse til 8888@sdu.dk</t>
    </r>
  </si>
  <si>
    <t>Leje af lokale til undervisning (ikke på SDU)</t>
  </si>
  <si>
    <t>Beløb pr. deltager</t>
  </si>
  <si>
    <r>
      <t xml:space="preserve">Kursusmateriale (direkte udgifter til artikler/bøger mv) </t>
    </r>
    <r>
      <rPr>
        <i/>
        <sz val="11"/>
        <color theme="1"/>
        <rFont val="Aptos"/>
        <family val="2"/>
      </rPr>
      <t>- ikke leveret af SDU</t>
    </r>
  </si>
  <si>
    <r>
      <t xml:space="preserve">Markedsføring (direkte udgifter, annoncer, tryksager mv.) </t>
    </r>
    <r>
      <rPr>
        <i/>
        <sz val="11"/>
        <color theme="1"/>
        <rFont val="Aptos"/>
        <family val="2"/>
      </rPr>
      <t>- ikke leveret af SDU</t>
    </r>
  </si>
  <si>
    <t>Antal vingaver</t>
  </si>
  <si>
    <t>Antal dage</t>
  </si>
  <si>
    <t>Antal deltagere</t>
  </si>
  <si>
    <t>Hotel-konferencepakke – hel dag</t>
  </si>
  <si>
    <t>Beløb pr. gave</t>
  </si>
  <si>
    <t>Chefkonsulent</t>
  </si>
  <si>
    <t>Aftalt pris pr. forløb</t>
  </si>
  <si>
    <t>Samlet kursus-indtægt</t>
  </si>
  <si>
    <t>Budgetteret kostpris pr. forløb</t>
  </si>
  <si>
    <t>Kostpris for samlet kursus</t>
  </si>
  <si>
    <t>Overskud samlet kursus</t>
  </si>
  <si>
    <t>SDU - Interne ydelser</t>
  </si>
  <si>
    <t>SDU-forplejning - deltagerer og undervisere</t>
  </si>
  <si>
    <t>Markedsføring - trykt på SDU</t>
  </si>
  <si>
    <t>Øvrig drift - andre SDU omkostninger</t>
  </si>
  <si>
    <t>Indkvartering/hotelovernatning – kursister</t>
  </si>
  <si>
    <t>Eksterne ydelser:</t>
  </si>
  <si>
    <t>Stamdata</t>
  </si>
  <si>
    <t>Direkte arbejdstimer</t>
  </si>
  <si>
    <t>Hotel-pakke - halv dag</t>
  </si>
  <si>
    <t>Rejseudgifter via zExpense - undervisere og konsulenter</t>
  </si>
  <si>
    <t>I alt direkte omkostninger pr. forløb</t>
  </si>
  <si>
    <t>Samlet økonomisk oversigt</t>
  </si>
  <si>
    <r>
      <t xml:space="preserve">Beløb </t>
    </r>
    <r>
      <rPr>
        <b/>
        <sz val="8"/>
        <color theme="1"/>
        <rFont val="Aptos"/>
        <family val="2"/>
      </rPr>
      <t>(ekskl. OH)</t>
    </r>
  </si>
  <si>
    <t/>
  </si>
  <si>
    <t>Løn</t>
  </si>
  <si>
    <t>Drift</t>
  </si>
  <si>
    <t>Total</t>
  </si>
  <si>
    <t>Overskud/underskud til institut</t>
  </si>
  <si>
    <t>Omregnet til beløb</t>
  </si>
  <si>
    <t>Intern fordeling/disponering af overskud</t>
  </si>
  <si>
    <t>Rest overskud - evt. disponering efter aftale med ansvarlig VIP</t>
  </si>
  <si>
    <t>Forsker XX</t>
  </si>
  <si>
    <t>Forsker YY</t>
  </si>
  <si>
    <t>Rest til enhed</t>
  </si>
  <si>
    <t>T-01 - STANDARD</t>
  </si>
  <si>
    <t>Underkonto</t>
  </si>
  <si>
    <t>Opgavenavn</t>
  </si>
  <si>
    <t>Artskonto</t>
  </si>
  <si>
    <t>UK90</t>
  </si>
  <si>
    <t>01100</t>
  </si>
  <si>
    <t>180000</t>
  </si>
  <si>
    <t>01200</t>
  </si>
  <si>
    <t>220000</t>
  </si>
  <si>
    <t>01700</t>
  </si>
  <si>
    <t>01400</t>
  </si>
  <si>
    <t>01800</t>
  </si>
  <si>
    <t>01990</t>
  </si>
  <si>
    <t>[T01 Overskud UK90]</t>
  </si>
  <si>
    <t>431085</t>
  </si>
  <si>
    <t>09990</t>
  </si>
  <si>
    <t>Overhead 120%</t>
  </si>
  <si>
    <t>Overhead 10%</t>
  </si>
  <si>
    <t>VIP-projektmedarbejder</t>
  </si>
  <si>
    <t>Institut</t>
  </si>
  <si>
    <t>EAN</t>
  </si>
  <si>
    <t>omk</t>
  </si>
  <si>
    <t>kort navn</t>
  </si>
  <si>
    <t>institutleder</t>
  </si>
  <si>
    <t xml:space="preserve">Økonomimedarb. </t>
  </si>
  <si>
    <t>KOST
PRIS
pr. time</t>
  </si>
  <si>
    <t>IV-Salgspris pr. time</t>
  </si>
  <si>
    <t>Vælg arbejdssted…</t>
  </si>
  <si>
    <t>SAMF FØS</t>
  </si>
  <si>
    <t>SAM FØS</t>
  </si>
  <si>
    <t>Torben Durck Johansen</t>
  </si>
  <si>
    <t>Tanja H. Hansen</t>
  </si>
  <si>
    <t>SAMF UDD</t>
  </si>
  <si>
    <t>SAM UDD</t>
  </si>
  <si>
    <t>Annette Schmidt</t>
  </si>
  <si>
    <t>Adjunkt</t>
  </si>
  <si>
    <t>Institut for Erhverv og Bæredygtighed</t>
  </si>
  <si>
    <t>IEB</t>
  </si>
  <si>
    <t>Christian Elmelund-Præstekær</t>
  </si>
  <si>
    <t>Hanne Damkjær/Anette Skov Johnsen</t>
  </si>
  <si>
    <t>Økonomisk Institut</t>
  </si>
  <si>
    <t>ECON</t>
  </si>
  <si>
    <t>Lone Grønbæk</t>
  </si>
  <si>
    <t>Astrid Holm Nielsen</t>
  </si>
  <si>
    <t>Lektor</t>
  </si>
  <si>
    <t>Institut for Virksomhedsledelse</t>
  </si>
  <si>
    <t>IVL</t>
  </si>
  <si>
    <t>Dannie Kjeldgaard</t>
  </si>
  <si>
    <t>Zameer Nasiri</t>
  </si>
  <si>
    <t>Interdisciplinary Centre on Population Dynamics (CPop)</t>
  </si>
  <si>
    <t>CPop</t>
  </si>
  <si>
    <t>Annette Baudisch</t>
  </si>
  <si>
    <t>Lars Henrik Pedersen</t>
  </si>
  <si>
    <t>Juridisk Institut</t>
  </si>
  <si>
    <t>JURA</t>
  </si>
  <si>
    <t>Hanne Søndergaard Birkmose</t>
  </si>
  <si>
    <t>Dorthe Carstensen</t>
  </si>
  <si>
    <t>Post Doc</t>
  </si>
  <si>
    <t>Institut for Statskundskab</t>
  </si>
  <si>
    <t>STAT</t>
  </si>
  <si>
    <t>Signe Pihl-Thingvad</t>
  </si>
  <si>
    <t>Anette Schmidt/Ann Skovly</t>
  </si>
  <si>
    <t>Professor</t>
  </si>
  <si>
    <t>Specialkonsulent</t>
  </si>
  <si>
    <t xml:space="preserve">OH i % til beregning i denne aktivitet </t>
  </si>
  <si>
    <t>Videnskabelig assistent</t>
  </si>
  <si>
    <t>TAP-administration</t>
  </si>
  <si>
    <t>HK, laborant</t>
  </si>
  <si>
    <t>HK, sekretær</t>
  </si>
  <si>
    <t>Studentermedhjælp HK</t>
  </si>
  <si>
    <t>Tjek selv timepris i QlikView. Løn (Timepris)</t>
  </si>
  <si>
    <t>Andel af indirekte omkostninger beregnet af SDUs omkostninger (OH)</t>
  </si>
  <si>
    <t>Andel af indirekte omkostninger beregnet af konsulentomkostninger og eksterne ydelser (OH)</t>
  </si>
  <si>
    <t>Budgetark</t>
  </si>
  <si>
    <t>Projekttype</t>
  </si>
  <si>
    <t>Dato for budgetudarbejdelse</t>
  </si>
  <si>
    <t>Dato for budgetstart</t>
  </si>
  <si>
    <t>Dato for budgetslut</t>
  </si>
  <si>
    <t>Projektnummer</t>
  </si>
  <si>
    <t>Bevillingshaver</t>
  </si>
  <si>
    <t>Bevillingsgiver</t>
  </si>
  <si>
    <t>Samlet bevilling i alt</t>
  </si>
  <si>
    <t>Analysenummer</t>
  </si>
  <si>
    <t>Projekttitel</t>
  </si>
  <si>
    <t>[T01 Drift] Honoraraflønning (ikke ansat på SDU)</t>
  </si>
  <si>
    <t>[T01 Drift] Konsulentydelser – ekstern underviser med CVR nummer</t>
  </si>
  <si>
    <t>Konsulentydelser – ekstern underviser med CVR nummer</t>
  </si>
  <si>
    <t>Budgetposter:</t>
  </si>
  <si>
    <t>Vælg fra liste…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</si>
  <si>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</si>
  <si>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</si>
  <si>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</si>
  <si>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</si>
  <si>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</si>
  <si>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</si>
  <si>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</si>
  <si>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</si>
  <si>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[T01 Drift] Kursusadministration</t>
  </si>
  <si>
    <t>[T01 Drift] Kommunikation</t>
  </si>
  <si>
    <t>[T01 Drift] Studentermedhjælp</t>
  </si>
  <si>
    <t>[T01 Drift] Dataanalyse</t>
  </si>
  <si>
    <t>[T01 Drift] SDU-forplejning - deltagerer og undervisere</t>
  </si>
  <si>
    <t>[T01 Drift] Markedsføring - trykt på SDU</t>
  </si>
  <si>
    <t>[T01 Drift] Øvrig drift - andre SDU omkostninger</t>
  </si>
  <si>
    <t>[T01 Drift] Leje af lokale til undervisning (på SDU)</t>
  </si>
  <si>
    <t>[T01 Drift] Hotel-konferencepakke – hel dag</t>
  </si>
  <si>
    <t>[T01 Drift] Hotel-pakke - halv dag</t>
  </si>
  <si>
    <t>[T01 Drift] Indkvartering/hotelovernatning – kursister</t>
  </si>
  <si>
    <t>[T01 Drift] Rejseudgifter via zExpense - undervisere og konsulenter</t>
  </si>
  <si>
    <t>[T01 Drift] Kursusmateriale (direkte udgifter til artikler/bøger mv)</t>
  </si>
  <si>
    <t>[T01 Drift] Markedsføring (direkte udgifter, annoncer, tryksager mv.)</t>
  </si>
  <si>
    <t>[T01 Drift] Leje af lokale til undervisning (ikke på SDU)</t>
  </si>
  <si>
    <t>[T01 Drift] Vingaver</t>
  </si>
  <si>
    <t>[T01 Drift] Øvrig drift</t>
  </si>
  <si>
    <t>UK10</t>
  </si>
  <si>
    <t>Overhead af direkte omkostninger (120 %)</t>
  </si>
  <si>
    <t>Overhead af konsulentomkostninger (10 %)</t>
  </si>
  <si>
    <t>Faglig erfaring, netværk og udvikling</t>
  </si>
  <si>
    <t>Antal timer</t>
  </si>
  <si>
    <t>Fordeling af overskud</t>
  </si>
  <si>
    <t>UK90 - Oversigt</t>
  </si>
  <si>
    <t>Stilling - kostpris tilrettet - 2025 priser</t>
  </si>
  <si>
    <t>Ph.d.   HUM/NAT/SAMF/TEK</t>
  </si>
  <si>
    <t>Ph.d.   SUND</t>
  </si>
  <si>
    <t>https://sdunet.dk/da/servicesider/oekonomi/budget/loenoversigtoeko/loensatser</t>
  </si>
  <si>
    <t>[T01 VIP-løn] Samlet løn projektmedarbejdere</t>
  </si>
  <si>
    <t>Indirekte omkostninger (OH)</t>
  </si>
  <si>
    <t>Afholdelsessted</t>
  </si>
  <si>
    <t>Valgfri stillingskategori</t>
  </si>
  <si>
    <t>Undervisningsassistent</t>
  </si>
  <si>
    <t>https://sdunet.dk/da/servicesider/oekonomi/budget/loenoversigtoeko/inernt-cirk-vedr,-d-,-indtaegtsgivende-virksomhed</t>
  </si>
  <si>
    <t>Kilde: Prisblad for indtægtsdækket virksomhed</t>
  </si>
  <si>
    <t>Årlige lønsatser pr. 1/4 samt øvrige timesatser for diverse stillingskategorier kan findes via LINK:</t>
  </si>
  <si>
    <t>Antal forløb (vælg fra liste)</t>
  </si>
  <si>
    <t>[T01 Drift] Andet projektadmin.</t>
  </si>
  <si>
    <t>Indeværende år (skal udfyldes)</t>
  </si>
  <si>
    <t>Deltagergebyr (samlet kursus)</t>
  </si>
  <si>
    <t>Deltagergebyr pr. kursus (minimumspris)</t>
  </si>
  <si>
    <t>Deltagergebyr pr. kursus (forventet overskud)</t>
  </si>
  <si>
    <t>Antal deltagere (minimum for break even)</t>
  </si>
  <si>
    <t>Antal deltagere (inkl. forventet overskud)</t>
  </si>
  <si>
    <t>[Indtast navn]</t>
  </si>
  <si>
    <t>[Indtast navn SDU bevillingshaver]</t>
  </si>
  <si>
    <t>[dd-mm-åååå]</t>
  </si>
  <si>
    <t>[Indtast lokation]</t>
  </si>
  <si>
    <t>[Indtast kursusdage/-timer]</t>
  </si>
  <si>
    <t>[xx-xxxxx-xxxxxxx]</t>
  </si>
  <si>
    <t>[Indtast kunde-/virksomhedsnavn]</t>
  </si>
  <si>
    <t>Eks. Engangsvederlag</t>
  </si>
  <si>
    <t>Eks. Konference til USA</t>
  </si>
  <si>
    <t>Eks. Administrativt personale</t>
  </si>
  <si>
    <t>Projektafgift (20% af de direkte udgifter)</t>
  </si>
  <si>
    <t>VIP-løn og  løn projektmedarbejdere</t>
  </si>
  <si>
    <t>TAP-løn</t>
  </si>
  <si>
    <t>431090</t>
  </si>
  <si>
    <t>Opgave - skal udfyldes</t>
  </si>
  <si>
    <t>Stillingskategori</t>
  </si>
  <si>
    <t>Vælg stillingskategori…</t>
  </si>
  <si>
    <t>Faglig erfaring, - netværk og - udvikling  (udfyldes nedenfor)</t>
  </si>
  <si>
    <t>Noter</t>
  </si>
  <si>
    <t>Indirekte omkostninger (OH) i alt</t>
  </si>
  <si>
    <t>Fortjeneste/Forventet overskud pr. forløb</t>
  </si>
  <si>
    <t>Samlede omkostninger inkl. indirekte omkostninger pr. forløb (minimumspris)</t>
  </si>
  <si>
    <t>Samlet indtægt/Salgspris DKK ekskl. moms pr. forløb</t>
  </si>
  <si>
    <t>Projektnavn</t>
  </si>
  <si>
    <t>[Indtast projektnavn]</t>
  </si>
  <si>
    <t>Kort beskrivelse af projekt (eks. kurset)</t>
  </si>
  <si>
    <t>[Indtast kort beskrivelse af projektet]</t>
  </si>
  <si>
    <t>Projektstart</t>
  </si>
  <si>
    <t>[Indtast antal deltagere]</t>
  </si>
  <si>
    <t>Antal deltagere (fra stamdata)</t>
  </si>
  <si>
    <t>Budget - uden brug af udstyr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</si>
</sst>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0\ [$kr.-406]_-;\-* #,##0.00\ [$kr.-406]_-;_-* &quot;-&quot;??\ [$kr.-406]_-;_-@_-"/>
    <numFmt numFmtId="168" formatCode="#,##0_ ;\-#,##0\ "/>
    <numFmt numFmtId="169" formatCode="#,##0;\-#,##0;"/>
    <numFmt numFmtId="170" formatCode="#,##0.00_ ;\-#,##0.00\ 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3"/>
      <name val="Arial"/>
      <family val="2"/>
    </font>
    <font>
      <b/>
      <sz val="8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ptos"/>
      <family val="2"/>
    </font>
    <font>
      <b/>
      <sz val="11"/>
      <color rgb="FFC00000"/>
      <name val="Calibri"/>
      <family val="2"/>
      <scheme val="minor"/>
    </font>
    <font>
      <b/>
      <sz val="11"/>
      <name val="Aptos"/>
      <family val="2"/>
    </font>
    <font>
      <sz val="8"/>
      <color theme="0"/>
      <name val="Calibri"/>
      <family val="2"/>
      <scheme val="minor"/>
    </font>
    <font>
      <sz val="11"/>
      <color theme="3"/>
      <name val="Aptos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b/>
      <i/>
      <sz val="11"/>
      <color theme="1"/>
      <name val="Aptos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ptos"/>
      <family val="2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gradientFill>
        <stop position="0">
          <color theme="0"/>
        </stop>
        <stop position="0.5">
          <color theme="8" tint="0.40000610370189521"/>
        </stop>
        <stop position="1">
          <color theme="0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15">
    <xf numFmtId="0" fontId="0" fillId="0" borderId="0"/>
    <xf numFmtId="4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3" borderId="0" applyNumberFormat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0" fontId="6" fillId="2" borderId="0">
      <alignment horizontal="right"/>
    </xf>
    <xf numFmtId="0" fontId="5" fillId="2" borderId="0">
      <alignment horizontal="right"/>
    </xf>
    <xf numFmtId="0" fontId="4" fillId="2" borderId="1"/>
    <xf numFmtId="0" fontId="4" fillId="0" borderId="0" applyBorder="0">
      <alignment horizontal="centerContinuous"/>
    </xf>
    <xf numFmtId="0" fontId="3" fillId="0" borderId="0" applyBorder="0">
      <alignment horizontal="centerContinuous"/>
    </xf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66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6" fontId="15" fillId="0" borderId="0" xfId="4" applyNumberFormat="1" applyFont="1" applyFill="1" applyBorder="1"/>
    <xf numFmtId="167" fontId="15" fillId="0" borderId="1" xfId="0" applyNumberFormat="1" applyFont="1" applyBorder="1"/>
    <xf numFmtId="0" fontId="15" fillId="7" borderId="2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left" vertical="center" indent="1"/>
    </xf>
    <xf numFmtId="0" fontId="0" fillId="8" borderId="62" xfId="0" applyFill="1" applyBorder="1" applyAlignment="1">
      <alignment horizontal="center" vertical="center" textRotation="90" wrapText="1"/>
    </xf>
    <xf numFmtId="0" fontId="15" fillId="7" borderId="28" xfId="0" applyFont="1" applyFill="1" applyBorder="1" applyAlignment="1">
      <alignment horizontal="left" indent="1"/>
    </xf>
    <xf numFmtId="0" fontId="15" fillId="7" borderId="2" xfId="0" applyFont="1" applyFill="1" applyBorder="1" applyAlignment="1">
      <alignment horizontal="left" indent="1"/>
    </xf>
    <xf numFmtId="0" fontId="15" fillId="7" borderId="6" xfId="0" applyFont="1" applyFill="1" applyBorder="1" applyAlignment="1">
      <alignment horizontal="left" indent="1"/>
    </xf>
    <xf numFmtId="0" fontId="15" fillId="7" borderId="6" xfId="0" quotePrefix="1" applyFont="1" applyFill="1" applyBorder="1" applyAlignment="1">
      <alignment horizontal="left"/>
    </xf>
    <xf numFmtId="0" fontId="15" fillId="4" borderId="8" xfId="0" applyFont="1" applyFill="1" applyBorder="1" applyAlignment="1">
      <alignment horizontal="left"/>
    </xf>
    <xf numFmtId="0" fontId="15" fillId="7" borderId="71" xfId="0" applyFont="1" applyFill="1" applyBorder="1" applyAlignment="1">
      <alignment horizontal="left" indent="1"/>
    </xf>
    <xf numFmtId="0" fontId="15" fillId="7" borderId="65" xfId="0" applyFont="1" applyFill="1" applyBorder="1" applyAlignment="1">
      <alignment horizontal="left" indent="1"/>
    </xf>
    <xf numFmtId="0" fontId="15" fillId="7" borderId="30" xfId="0" applyFont="1" applyFill="1" applyBorder="1" applyAlignment="1">
      <alignment horizontal="left" indent="1"/>
    </xf>
    <xf numFmtId="0" fontId="0" fillId="8" borderId="47" xfId="0" applyFill="1" applyBorder="1" applyAlignment="1">
      <alignment horizontal="center" vertical="center" textRotation="90" wrapText="1"/>
    </xf>
    <xf numFmtId="0" fontId="15" fillId="7" borderId="8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15" fillId="7" borderId="8" xfId="0" applyFont="1" applyFill="1" applyBorder="1" applyAlignment="1">
      <alignment horizontal="left" indent="1"/>
    </xf>
    <xf numFmtId="164" fontId="17" fillId="6" borderId="33" xfId="4" applyFont="1" applyFill="1" applyBorder="1" applyAlignment="1">
      <alignment horizontal="right" vertical="top"/>
    </xf>
    <xf numFmtId="164" fontId="15" fillId="6" borderId="7" xfId="4" applyFont="1" applyFill="1" applyBorder="1" applyAlignment="1">
      <alignment horizontal="center"/>
    </xf>
    <xf numFmtId="164" fontId="15" fillId="6" borderId="33" xfId="4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4" fontId="0" fillId="0" borderId="0" xfId="0" applyNumberFormat="1"/>
    <xf numFmtId="0" fontId="24" fillId="0" borderId="0" xfId="0" applyFont="1"/>
    <xf numFmtId="0" fontId="26" fillId="0" borderId="72" xfId="0" applyFont="1" applyBorder="1"/>
    <xf numFmtId="0" fontId="26" fillId="0" borderId="36" xfId="0" applyFont="1" applyBorder="1"/>
    <xf numFmtId="0" fontId="26" fillId="0" borderId="31" xfId="0" applyFont="1" applyBorder="1"/>
    <xf numFmtId="0" fontId="0" fillId="11" borderId="73" xfId="0" applyFill="1" applyBorder="1"/>
    <xf numFmtId="0" fontId="27" fillId="0" borderId="40" xfId="0" applyFont="1" applyBorder="1"/>
    <xf numFmtId="0" fontId="26" fillId="0" borderId="0" xfId="0" quotePrefix="1" applyFont="1"/>
    <xf numFmtId="0" fontId="26" fillId="0" borderId="1" xfId="0" quotePrefix="1" applyFont="1" applyBorder="1"/>
    <xf numFmtId="0" fontId="0" fillId="11" borderId="32" xfId="0" applyFill="1" applyBorder="1"/>
    <xf numFmtId="9" fontId="14" fillId="0" borderId="4" xfId="13" applyFont="1" applyBorder="1" applyAlignment="1">
      <alignment horizontal="center" wrapText="1"/>
    </xf>
    <xf numFmtId="1" fontId="27" fillId="0" borderId="0" xfId="0" applyNumberFormat="1" applyFont="1"/>
    <xf numFmtId="0" fontId="27" fillId="0" borderId="0" xfId="0" applyFont="1"/>
    <xf numFmtId="0" fontId="27" fillId="0" borderId="1" xfId="0" applyFont="1" applyBorder="1"/>
    <xf numFmtId="169" fontId="0" fillId="0" borderId="63" xfId="0" applyNumberFormat="1" applyBorder="1"/>
    <xf numFmtId="165" fontId="0" fillId="0" borderId="25" xfId="4" applyNumberFormat="1" applyFont="1" applyFill="1" applyBorder="1" applyAlignment="1">
      <alignment horizontal="center"/>
    </xf>
    <xf numFmtId="0" fontId="0" fillId="11" borderId="0" xfId="0" applyFill="1"/>
    <xf numFmtId="0" fontId="27" fillId="0" borderId="41" xfId="0" applyFont="1" applyBorder="1"/>
    <xf numFmtId="1" fontId="27" fillId="0" borderId="42" xfId="0" applyNumberFormat="1" applyFont="1" applyBorder="1"/>
    <xf numFmtId="0" fontId="27" fillId="0" borderId="42" xfId="0" applyFont="1" applyBorder="1"/>
    <xf numFmtId="0" fontId="27" fillId="0" borderId="43" xfId="0" applyFont="1" applyBorder="1"/>
    <xf numFmtId="0" fontId="26" fillId="0" borderId="47" xfId="0" applyFont="1" applyBorder="1"/>
    <xf numFmtId="0" fontId="0" fillId="0" borderId="74" xfId="0" applyBorder="1" applyAlignment="1">
      <alignment vertical="center" wrapText="1"/>
    </xf>
    <xf numFmtId="0" fontId="25" fillId="0" borderId="74" xfId="14" applyBorder="1" applyAlignment="1">
      <alignment vertical="center" wrapText="1"/>
    </xf>
    <xf numFmtId="2" fontId="0" fillId="0" borderId="0" xfId="0" applyNumberFormat="1"/>
    <xf numFmtId="165" fontId="0" fillId="0" borderId="27" xfId="4" applyNumberFormat="1" applyFont="1" applyFill="1" applyBorder="1"/>
    <xf numFmtId="0" fontId="0" fillId="11" borderId="23" xfId="0" applyFill="1" applyBorder="1"/>
    <xf numFmtId="169" fontId="0" fillId="0" borderId="0" xfId="0" applyNumberFormat="1"/>
    <xf numFmtId="0" fontId="0" fillId="12" borderId="0" xfId="0" applyFill="1"/>
    <xf numFmtId="164" fontId="17" fillId="6" borderId="64" xfId="4" applyFont="1" applyFill="1" applyBorder="1" applyAlignment="1">
      <alignment horizontal="right" vertical="top"/>
    </xf>
    <xf numFmtId="164" fontId="17" fillId="6" borderId="57" xfId="4" applyFont="1" applyFill="1" applyBorder="1" applyAlignment="1">
      <alignment horizontal="right" vertical="top"/>
    </xf>
    <xf numFmtId="9" fontId="17" fillId="7" borderId="7" xfId="13" applyFont="1" applyFill="1" applyBorder="1" applyAlignment="1">
      <alignment horizontal="center" vertical="center"/>
    </xf>
    <xf numFmtId="9" fontId="17" fillId="7" borderId="33" xfId="13" applyFont="1" applyFill="1" applyBorder="1" applyAlignment="1">
      <alignment horizontal="center" vertical="center"/>
    </xf>
    <xf numFmtId="9" fontId="17" fillId="7" borderId="5" xfId="13" applyFont="1" applyFill="1" applyBorder="1" applyAlignment="1">
      <alignment horizontal="center" vertical="center"/>
    </xf>
    <xf numFmtId="9" fontId="17" fillId="7" borderId="57" xfId="13" applyFont="1" applyFill="1" applyBorder="1" applyAlignment="1">
      <alignment horizontal="center" vertical="center"/>
    </xf>
    <xf numFmtId="9" fontId="17" fillId="7" borderId="64" xfId="13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6" fillId="6" borderId="6" xfId="0" applyFont="1" applyFill="1" applyBorder="1" applyAlignment="1">
      <alignment horizontal="left" vertical="center" indent="1"/>
    </xf>
    <xf numFmtId="0" fontId="16" fillId="6" borderId="28" xfId="0" applyFont="1" applyFill="1" applyBorder="1" applyAlignment="1">
      <alignment horizontal="left" vertical="center" indent="1"/>
    </xf>
    <xf numFmtId="0" fontId="16" fillId="6" borderId="2" xfId="0" applyFont="1" applyFill="1" applyBorder="1" applyAlignment="1">
      <alignment horizontal="left" vertical="center" indent="1"/>
    </xf>
    <xf numFmtId="0" fontId="31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4" fontId="17" fillId="6" borderId="30" xfId="4" applyFont="1" applyFill="1" applyBorder="1" applyAlignment="1">
      <alignment horizontal="right" vertical="top"/>
    </xf>
    <xf numFmtId="0" fontId="25" fillId="0" borderId="0" xfId="14" applyAlignment="1">
      <alignment horizontal="left"/>
    </xf>
    <xf numFmtId="49" fontId="28" fillId="13" borderId="24" xfId="0" applyNumberFormat="1" applyFont="1" applyFill="1" applyBorder="1" applyAlignment="1">
      <alignment horizontal="center" vertical="center"/>
    </xf>
    <xf numFmtId="0" fontId="32" fillId="13" borderId="9" xfId="0" applyFont="1" applyFill="1" applyBorder="1" applyAlignment="1">
      <alignment horizontal="left" vertical="center" indent="1"/>
    </xf>
    <xf numFmtId="0" fontId="32" fillId="13" borderId="29" xfId="0" applyFont="1" applyFill="1" applyBorder="1" applyAlignment="1">
      <alignment horizontal="left" vertical="center" indent="1"/>
    </xf>
    <xf numFmtId="4" fontId="32" fillId="13" borderId="29" xfId="4" applyNumberFormat="1" applyFont="1" applyFill="1" applyBorder="1" applyAlignment="1">
      <alignment horizontal="left" vertical="center" indent="1"/>
    </xf>
    <xf numFmtId="0" fontId="32" fillId="13" borderId="18" xfId="0" applyFont="1" applyFill="1" applyBorder="1" applyAlignment="1">
      <alignment horizontal="left" vertical="center" indent="1"/>
    </xf>
    <xf numFmtId="49" fontId="28" fillId="4" borderId="38" xfId="0" applyNumberFormat="1" applyFont="1" applyFill="1" applyBorder="1" applyAlignment="1">
      <alignment vertical="center"/>
    </xf>
    <xf numFmtId="49" fontId="28" fillId="13" borderId="19" xfId="0" applyNumberFormat="1" applyFont="1" applyFill="1" applyBorder="1" applyAlignment="1">
      <alignment horizontal="left" vertical="center" indent="1"/>
    </xf>
    <xf numFmtId="49" fontId="28" fillId="13" borderId="24" xfId="0" applyNumberFormat="1" applyFont="1" applyFill="1" applyBorder="1" applyAlignment="1">
      <alignment horizontal="left" vertical="center" indent="1"/>
    </xf>
    <xf numFmtId="49" fontId="28" fillId="13" borderId="35" xfId="0" quotePrefix="1" applyNumberFormat="1" applyFont="1" applyFill="1" applyBorder="1" applyAlignment="1">
      <alignment horizontal="left" vertical="center" indent="1"/>
    </xf>
    <xf numFmtId="49" fontId="28" fillId="13" borderId="35" xfId="0" applyNumberFormat="1" applyFont="1" applyFill="1" applyBorder="1" applyAlignment="1">
      <alignment horizontal="left" vertical="center" indent="1"/>
    </xf>
    <xf numFmtId="0" fontId="28" fillId="0" borderId="35" xfId="0" applyFont="1" applyBorder="1" applyAlignment="1">
      <alignment horizontal="left" vertical="center" indent="1"/>
    </xf>
    <xf numFmtId="49" fontId="28" fillId="4" borderId="49" xfId="0" applyNumberFormat="1" applyFont="1" applyFill="1" applyBorder="1" applyAlignment="1">
      <alignment horizontal="left" vertical="center" indent="1"/>
    </xf>
    <xf numFmtId="49" fontId="28" fillId="4" borderId="38" xfId="0" applyNumberFormat="1" applyFont="1" applyFill="1" applyBorder="1" applyAlignment="1">
      <alignment horizontal="left" vertical="center" indent="1"/>
    </xf>
    <xf numFmtId="164" fontId="0" fillId="0" borderId="0" xfId="4" applyFont="1"/>
    <xf numFmtId="164" fontId="0" fillId="0" borderId="0" xfId="4" applyFont="1" applyFill="1"/>
    <xf numFmtId="164" fontId="28" fillId="13" borderId="24" xfId="4" applyFont="1" applyFill="1" applyBorder="1" applyAlignment="1" applyProtection="1">
      <alignment horizontal="right" vertical="center"/>
    </xf>
    <xf numFmtId="164" fontId="28" fillId="13" borderId="25" xfId="4" applyFont="1" applyFill="1" applyBorder="1" applyAlignment="1">
      <alignment horizontal="right" vertical="center"/>
    </xf>
    <xf numFmtId="164" fontId="28" fillId="13" borderId="0" xfId="4" applyFont="1" applyFill="1" applyBorder="1" applyAlignment="1" applyProtection="1">
      <alignment horizontal="right" vertical="center"/>
    </xf>
    <xf numFmtId="164" fontId="28" fillId="13" borderId="11" xfId="4" applyFont="1" applyFill="1" applyBorder="1" applyAlignment="1">
      <alignment horizontal="right" vertical="center"/>
    </xf>
    <xf numFmtId="164" fontId="28" fillId="0" borderId="0" xfId="4" applyFont="1" applyFill="1" applyBorder="1" applyAlignment="1">
      <alignment horizontal="right" vertical="center"/>
    </xf>
    <xf numFmtId="164" fontId="28" fillId="0" borderId="11" xfId="4" applyFont="1" applyFill="1" applyBorder="1" applyAlignment="1">
      <alignment horizontal="right" vertical="center"/>
    </xf>
    <xf numFmtId="164" fontId="34" fillId="0" borderId="0" xfId="4" applyFont="1" applyAlignment="1">
      <alignment horizontal="left"/>
    </xf>
    <xf numFmtId="4" fontId="14" fillId="0" borderId="0" xfId="0" applyNumberFormat="1" applyFont="1"/>
    <xf numFmtId="164" fontId="29" fillId="0" borderId="0" xfId="4" applyFont="1" applyAlignment="1">
      <alignment horizontal="left" indent="2"/>
    </xf>
    <xf numFmtId="0" fontId="13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4" fontId="28" fillId="4" borderId="38" xfId="4" applyNumberFormat="1" applyFont="1" applyFill="1" applyBorder="1" applyAlignment="1">
      <alignment horizontal="right" vertical="center"/>
    </xf>
    <xf numFmtId="4" fontId="28" fillId="4" borderId="68" xfId="4" applyNumberFormat="1" applyFont="1" applyFill="1" applyBorder="1" applyAlignment="1">
      <alignment horizontal="right" vertical="center"/>
    </xf>
    <xf numFmtId="170" fontId="28" fillId="13" borderId="0" xfId="4" applyNumberFormat="1" applyFont="1" applyFill="1" applyBorder="1" applyAlignment="1" applyProtection="1">
      <alignment horizontal="right" vertical="center"/>
      <protection locked="0"/>
    </xf>
    <xf numFmtId="170" fontId="28" fillId="13" borderId="11" xfId="4" applyNumberFormat="1" applyFont="1" applyFill="1" applyBorder="1" applyAlignment="1">
      <alignment horizontal="right" vertical="center"/>
    </xf>
    <xf numFmtId="49" fontId="28" fillId="13" borderId="0" xfId="0" applyNumberFormat="1" applyFont="1" applyFill="1" applyAlignment="1">
      <alignment horizontal="left" vertical="center" indent="1"/>
    </xf>
    <xf numFmtId="49" fontId="28" fillId="13" borderId="0" xfId="0" applyNumberFormat="1" applyFont="1" applyFill="1" applyAlignment="1">
      <alignment horizontal="center" vertical="center"/>
    </xf>
    <xf numFmtId="0" fontId="28" fillId="13" borderId="0" xfId="0" applyFont="1" applyFill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0" fontId="0" fillId="0" borderId="0" xfId="0" applyAlignment="1">
      <alignment wrapText="1"/>
    </xf>
    <xf numFmtId="0" fontId="14" fillId="16" borderId="16" xfId="0" applyFont="1" applyFill="1" applyBorder="1" applyAlignment="1">
      <alignment horizontal="center" wrapText="1"/>
    </xf>
    <xf numFmtId="0" fontId="0" fillId="17" borderId="73" xfId="0" applyFill="1" applyBorder="1"/>
    <xf numFmtId="0" fontId="0" fillId="17" borderId="32" xfId="0" applyFill="1" applyBorder="1"/>
    <xf numFmtId="0" fontId="0" fillId="17" borderId="0" xfId="0" applyFill="1"/>
    <xf numFmtId="0" fontId="0" fillId="17" borderId="23" xfId="0" applyFill="1" applyBorder="1"/>
    <xf numFmtId="0" fontId="12" fillId="0" borderId="0" xfId="0" applyFont="1" applyAlignment="1">
      <alignment horizontal="center"/>
    </xf>
    <xf numFmtId="0" fontId="0" fillId="16" borderId="19" xfId="0" applyFill="1" applyBorder="1" applyAlignment="1">
      <alignment horizontal="left" indent="1"/>
    </xf>
    <xf numFmtId="0" fontId="0" fillId="16" borderId="26" xfId="0" applyFill="1" applyBorder="1" applyAlignment="1">
      <alignment horizontal="left" indent="1"/>
    </xf>
    <xf numFmtId="0" fontId="35" fillId="15" borderId="62" xfId="0" applyFont="1" applyFill="1" applyBorder="1" applyAlignment="1">
      <alignment horizontal="center"/>
    </xf>
    <xf numFmtId="9" fontId="23" fillId="0" borderId="25" xfId="0" applyNumberFormat="1" applyFont="1" applyBorder="1" applyAlignment="1">
      <alignment horizontal="center"/>
    </xf>
    <xf numFmtId="9" fontId="23" fillId="0" borderId="27" xfId="0" applyNumberFormat="1" applyFont="1" applyBorder="1" applyAlignment="1">
      <alignment horizontal="center"/>
    </xf>
    <xf numFmtId="9" fontId="13" fillId="16" borderId="27" xfId="13" applyFont="1" applyFill="1" applyBorder="1" applyAlignment="1">
      <alignment horizontal="center"/>
    </xf>
    <xf numFmtId="0" fontId="13" fillId="0" borderId="0" xfId="0" applyFont="1" applyAlignment="1">
      <alignment horizontal="right" indent="1"/>
    </xf>
    <xf numFmtId="164" fontId="13" fillId="0" borderId="0" xfId="4" applyFont="1" applyFill="1" applyBorder="1"/>
    <xf numFmtId="0" fontId="11" fillId="0" borderId="0" xfId="0" applyFont="1" applyAlignment="1">
      <alignment horizontal="center" vertical="center" wrapText="1"/>
    </xf>
    <xf numFmtId="164" fontId="16" fillId="7" borderId="46" xfId="4" applyFont="1" applyFill="1" applyBorder="1" applyAlignment="1">
      <alignment vertical="center"/>
    </xf>
    <xf numFmtId="0" fontId="15" fillId="19" borderId="19" xfId="0" applyFont="1" applyFill="1" applyBorder="1" applyAlignment="1">
      <alignment horizontal="left" indent="1"/>
    </xf>
    <xf numFmtId="164" fontId="15" fillId="19" borderId="25" xfId="4" applyFont="1" applyFill="1" applyBorder="1"/>
    <xf numFmtId="0" fontId="15" fillId="19" borderId="35" xfId="0" applyFont="1" applyFill="1" applyBorder="1" applyAlignment="1">
      <alignment horizontal="left" indent="1"/>
    </xf>
    <xf numFmtId="164" fontId="15" fillId="19" borderId="11" xfId="4" applyFont="1" applyFill="1" applyBorder="1"/>
    <xf numFmtId="0" fontId="16" fillId="0" borderId="35" xfId="0" applyFont="1" applyBorder="1" applyAlignment="1">
      <alignment horizontal="left" vertical="center" indent="1"/>
    </xf>
    <xf numFmtId="164" fontId="16" fillId="0" borderId="11" xfId="4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16" fillId="7" borderId="17" xfId="0" applyFont="1" applyFill="1" applyBorder="1" applyAlignment="1">
      <alignment horizontal="left" vertical="center" indent="1"/>
    </xf>
    <xf numFmtId="0" fontId="30" fillId="7" borderId="14" xfId="0" applyFont="1" applyFill="1" applyBorder="1" applyAlignment="1">
      <alignment horizontal="left" vertical="center" indent="1"/>
    </xf>
    <xf numFmtId="164" fontId="30" fillId="7" borderId="11" xfId="0" applyNumberFormat="1" applyFont="1" applyFill="1" applyBorder="1" applyAlignment="1">
      <alignment horizontal="center" vertical="center" wrapText="1"/>
    </xf>
    <xf numFmtId="164" fontId="28" fillId="19" borderId="25" xfId="4" applyFont="1" applyFill="1" applyBorder="1"/>
    <xf numFmtId="164" fontId="28" fillId="19" borderId="11" xfId="4" applyFont="1" applyFill="1" applyBorder="1"/>
    <xf numFmtId="164" fontId="28" fillId="19" borderId="27" xfId="4" applyFont="1" applyFill="1" applyBorder="1"/>
    <xf numFmtId="0" fontId="39" fillId="7" borderId="45" xfId="0" applyFont="1" applyFill="1" applyBorder="1"/>
    <xf numFmtId="164" fontId="16" fillId="7" borderId="46" xfId="0" applyNumberFormat="1" applyFont="1" applyFill="1" applyBorder="1" applyAlignment="1">
      <alignment vertical="center"/>
    </xf>
    <xf numFmtId="0" fontId="15" fillId="19" borderId="26" xfId="0" applyFont="1" applyFill="1" applyBorder="1" applyAlignment="1">
      <alignment horizontal="left" indent="1"/>
    </xf>
    <xf numFmtId="0" fontId="30" fillId="7" borderId="17" xfId="0" applyFont="1" applyFill="1" applyBorder="1" applyAlignment="1">
      <alignment horizontal="center" vertical="center" wrapText="1"/>
    </xf>
    <xf numFmtId="164" fontId="39" fillId="19" borderId="23" xfId="0" applyNumberFormat="1" applyFont="1" applyFill="1" applyBorder="1" applyAlignment="1">
      <alignment vertical="center"/>
    </xf>
    <xf numFmtId="0" fontId="16" fillId="0" borderId="35" xfId="0" applyFont="1" applyBorder="1" applyAlignment="1">
      <alignment horizontal="left" vertical="center"/>
    </xf>
    <xf numFmtId="0" fontId="39" fillId="0" borderId="0" xfId="0" applyFont="1"/>
    <xf numFmtId="164" fontId="16" fillId="0" borderId="11" xfId="0" applyNumberFormat="1" applyFont="1" applyBorder="1" applyAlignment="1">
      <alignment vertical="center"/>
    </xf>
    <xf numFmtId="0" fontId="15" fillId="0" borderId="35" xfId="0" applyFont="1" applyBorder="1"/>
    <xf numFmtId="0" fontId="15" fillId="0" borderId="11" xfId="0" applyFont="1" applyBorder="1"/>
    <xf numFmtId="165" fontId="0" fillId="0" borderId="76" xfId="4" applyNumberFormat="1" applyFont="1" applyFill="1" applyBorder="1"/>
    <xf numFmtId="165" fontId="0" fillId="0" borderId="76" xfId="4" applyNumberFormat="1" applyFont="1" applyBorder="1" applyProtection="1"/>
    <xf numFmtId="165" fontId="0" fillId="0" borderId="76" xfId="4" applyNumberFormat="1" applyFont="1" applyFill="1" applyBorder="1" applyAlignment="1">
      <alignment horizontal="center"/>
    </xf>
    <xf numFmtId="165" fontId="0" fillId="0" borderId="78" xfId="4" applyNumberFormat="1" applyFont="1" applyFill="1" applyBorder="1"/>
    <xf numFmtId="0" fontId="0" fillId="0" borderId="50" xfId="0" applyBorder="1"/>
    <xf numFmtId="0" fontId="0" fillId="0" borderId="79" xfId="0" applyBorder="1"/>
    <xf numFmtId="0" fontId="39" fillId="19" borderId="23" xfId="0" applyFont="1" applyFill="1" applyBorder="1" applyAlignment="1">
      <alignment horizontal="left" vertical="center" indent="2"/>
    </xf>
    <xf numFmtId="0" fontId="28" fillId="19" borderId="64" xfId="0" applyFont="1" applyFill="1" applyBorder="1" applyAlignment="1">
      <alignment horizontal="left" indent="2"/>
    </xf>
    <xf numFmtId="0" fontId="28" fillId="19" borderId="14" xfId="0" applyFont="1" applyFill="1" applyBorder="1" applyAlignment="1">
      <alignment horizontal="left" indent="2"/>
    </xf>
    <xf numFmtId="0" fontId="28" fillId="19" borderId="30" xfId="0" applyFont="1" applyFill="1" applyBorder="1" applyAlignment="1">
      <alignment horizontal="left" indent="2"/>
    </xf>
    <xf numFmtId="164" fontId="15" fillId="19" borderId="27" xfId="4" applyFont="1" applyFill="1" applyBorder="1"/>
    <xf numFmtId="0" fontId="16" fillId="7" borderId="60" xfId="0" applyFont="1" applyFill="1" applyBorder="1" applyAlignment="1">
      <alignment horizontal="left" vertical="center" indent="1"/>
    </xf>
    <xf numFmtId="0" fontId="15" fillId="19" borderId="60" xfId="0" applyFont="1" applyFill="1" applyBorder="1" applyAlignment="1">
      <alignment horizontal="left" indent="1"/>
    </xf>
    <xf numFmtId="0" fontId="15" fillId="19" borderId="63" xfId="0" applyFont="1" applyFill="1" applyBorder="1" applyAlignment="1">
      <alignment horizontal="left" indent="2"/>
    </xf>
    <xf numFmtId="0" fontId="15" fillId="19" borderId="17" xfId="0" applyFont="1" applyFill="1" applyBorder="1" applyAlignment="1">
      <alignment horizontal="left" indent="2"/>
    </xf>
    <xf numFmtId="0" fontId="15" fillId="19" borderId="65" xfId="0" applyFont="1" applyFill="1" applyBorder="1" applyAlignment="1">
      <alignment horizontal="left" indent="2"/>
    </xf>
    <xf numFmtId="169" fontId="0" fillId="20" borderId="17" xfId="0" applyNumberFormat="1" applyFill="1" applyBorder="1"/>
    <xf numFmtId="0" fontId="40" fillId="0" borderId="0" xfId="0" applyFont="1"/>
    <xf numFmtId="0" fontId="41" fillId="0" borderId="0" xfId="0" applyFont="1"/>
    <xf numFmtId="0" fontId="25" fillId="0" borderId="0" xfId="14"/>
    <xf numFmtId="0" fontId="0" fillId="0" borderId="52" xfId="0" applyBorder="1"/>
    <xf numFmtId="0" fontId="9" fillId="0" borderId="0" xfId="0" applyFont="1"/>
    <xf numFmtId="0" fontId="15" fillId="5" borderId="7" xfId="0" applyFont="1" applyFill="1" applyBorder="1" applyAlignment="1" applyProtection="1">
      <alignment horizontal="center" vertical="center"/>
      <protection locked="0"/>
    </xf>
    <xf numFmtId="164" fontId="15" fillId="5" borderId="7" xfId="4" applyFont="1" applyFill="1" applyBorder="1" applyAlignment="1" applyProtection="1">
      <alignment horizontal="center" vertical="center"/>
      <protection locked="0"/>
    </xf>
    <xf numFmtId="0" fontId="15" fillId="5" borderId="33" xfId="0" applyFont="1" applyFill="1" applyBorder="1" applyAlignment="1" applyProtection="1">
      <alignment horizontal="center" vertical="center"/>
      <protection locked="0"/>
    </xf>
    <xf numFmtId="164" fontId="15" fillId="5" borderId="33" xfId="4" applyFont="1" applyFill="1" applyBorder="1" applyAlignment="1" applyProtection="1">
      <alignment horizontal="center" vertical="center"/>
      <protection locked="0"/>
    </xf>
    <xf numFmtId="164" fontId="17" fillId="5" borderId="33" xfId="4" applyFont="1" applyFill="1" applyBorder="1" applyAlignment="1" applyProtection="1">
      <alignment horizontal="center" vertical="center"/>
      <protection locked="0"/>
    </xf>
    <xf numFmtId="164" fontId="15" fillId="5" borderId="5" xfId="4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right" vertical="center"/>
      <protection locked="0"/>
    </xf>
    <xf numFmtId="164" fontId="0" fillId="5" borderId="7" xfId="4" applyFont="1" applyFill="1" applyBorder="1" applyAlignment="1" applyProtection="1">
      <alignment horizontal="right" vertical="center"/>
      <protection locked="0"/>
    </xf>
    <xf numFmtId="0" fontId="15" fillId="5" borderId="57" xfId="0" applyFont="1" applyFill="1" applyBorder="1" applyAlignment="1" applyProtection="1">
      <alignment horizontal="right" vertical="center"/>
      <protection locked="0"/>
    </xf>
    <xf numFmtId="164" fontId="15" fillId="5" borderId="57" xfId="4" applyFont="1" applyFill="1" applyBorder="1" applyAlignment="1" applyProtection="1">
      <alignment horizontal="right" vertical="center" indent="1"/>
      <protection locked="0"/>
    </xf>
    <xf numFmtId="0" fontId="15" fillId="5" borderId="33" xfId="0" applyFont="1" applyFill="1" applyBorder="1" applyAlignment="1" applyProtection="1">
      <alignment horizontal="right" vertical="center"/>
      <protection locked="0"/>
    </xf>
    <xf numFmtId="164" fontId="15" fillId="5" borderId="33" xfId="4" applyFont="1" applyFill="1" applyBorder="1" applyAlignment="1" applyProtection="1">
      <alignment horizontal="right" vertical="center" indent="1"/>
      <protection locked="0"/>
    </xf>
    <xf numFmtId="168" fontId="15" fillId="5" borderId="57" xfId="4" applyNumberFormat="1" applyFont="1" applyFill="1" applyBorder="1" applyAlignment="1" applyProtection="1">
      <alignment horizontal="center"/>
      <protection locked="0"/>
    </xf>
    <xf numFmtId="164" fontId="15" fillId="5" borderId="57" xfId="4" applyFont="1" applyFill="1" applyBorder="1" applyAlignment="1" applyProtection="1">
      <alignment horizontal="right" indent="1"/>
      <protection locked="0"/>
    </xf>
    <xf numFmtId="170" fontId="28" fillId="13" borderId="0" xfId="4" applyNumberFormat="1" applyFont="1" applyFill="1" applyBorder="1" applyAlignment="1" applyProtection="1">
      <alignment horizontal="right" vertical="center"/>
    </xf>
    <xf numFmtId="0" fontId="28" fillId="0" borderId="73" xfId="0" applyFont="1" applyBorder="1" applyAlignment="1" applyProtection="1">
      <alignment horizontal="center"/>
      <protection locked="0"/>
    </xf>
    <xf numFmtId="0" fontId="28" fillId="0" borderId="77" xfId="0" applyFont="1" applyBorder="1" applyAlignment="1" applyProtection="1">
      <alignment horizontal="center"/>
      <protection locked="0"/>
    </xf>
    <xf numFmtId="0" fontId="28" fillId="0" borderId="32" xfId="0" applyFont="1" applyBorder="1" applyAlignment="1" applyProtection="1">
      <alignment horizontal="center"/>
      <protection locked="0"/>
    </xf>
    <xf numFmtId="14" fontId="28" fillId="21" borderId="29" xfId="0" applyNumberFormat="1" applyFont="1" applyFill="1" applyBorder="1" applyAlignment="1" applyProtection="1">
      <alignment horizontal="left" vertical="center" indent="1"/>
      <protection locked="0"/>
    </xf>
    <xf numFmtId="0" fontId="28" fillId="21" borderId="29" xfId="0" applyFont="1" applyFill="1" applyBorder="1" applyAlignment="1" applyProtection="1">
      <alignment horizontal="left" vertical="center" indent="1"/>
      <protection locked="0"/>
    </xf>
    <xf numFmtId="0" fontId="25" fillId="0" borderId="0" xfId="14" applyAlignment="1" applyProtection="1">
      <alignment horizontal="left"/>
      <protection locked="0"/>
    </xf>
    <xf numFmtId="0" fontId="25" fillId="0" borderId="0" xfId="14" applyProtection="1">
      <protection locked="0"/>
    </xf>
    <xf numFmtId="0" fontId="25" fillId="0" borderId="0" xfId="14" applyAlignment="1" applyProtection="1">
      <alignment horizontal="left"/>
    </xf>
    <xf numFmtId="0" fontId="15" fillId="0" borderId="80" xfId="0" applyFont="1" applyBorder="1" applyAlignment="1" applyProtection="1">
      <alignment horizontal="left" vertical="center" indent="2"/>
      <protection locked="0"/>
    </xf>
    <xf numFmtId="0" fontId="15" fillId="0" borderId="81" xfId="0" applyFont="1" applyBorder="1" applyAlignment="1" applyProtection="1">
      <alignment horizontal="left" vertical="center" indent="2"/>
      <protection locked="0"/>
    </xf>
    <xf numFmtId="0" fontId="0" fillId="0" borderId="11" xfId="0" applyBorder="1"/>
    <xf numFmtId="164" fontId="15" fillId="0" borderId="82" xfId="4" applyFont="1" applyFill="1" applyBorder="1" applyAlignment="1" applyProtection="1">
      <alignment vertical="center"/>
      <protection locked="0"/>
    </xf>
    <xf numFmtId="0" fontId="15" fillId="0" borderId="83" xfId="0" applyFont="1" applyBorder="1" applyAlignment="1" applyProtection="1">
      <alignment horizontal="left" vertical="center" indent="2"/>
      <protection locked="0"/>
    </xf>
    <xf numFmtId="0" fontId="15" fillId="0" borderId="84" xfId="0" applyFont="1" applyBorder="1" applyAlignment="1" applyProtection="1">
      <alignment horizontal="left" vertical="center" indent="2"/>
      <protection locked="0"/>
    </xf>
    <xf numFmtId="164" fontId="15" fillId="0" borderId="85" xfId="4" applyFont="1" applyFill="1" applyBorder="1" applyAlignment="1" applyProtection="1">
      <alignment vertical="center"/>
      <protection locked="0"/>
    </xf>
    <xf numFmtId="0" fontId="20" fillId="5" borderId="44" xfId="0" applyFont="1" applyFill="1" applyBorder="1" applyAlignment="1" applyProtection="1">
      <alignment horizontal="left" vertical="center" wrapText="1" indent="1"/>
      <protection locked="0"/>
    </xf>
    <xf numFmtId="0" fontId="16" fillId="4" borderId="3" xfId="0" applyFont="1" applyFill="1" applyBorder="1" applyAlignment="1">
      <alignment horizontal="left" wrapText="1" inden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wrapText="1"/>
    </xf>
    <xf numFmtId="0" fontId="16" fillId="8" borderId="47" xfId="0" applyFont="1" applyFill="1" applyBorder="1" applyAlignment="1">
      <alignment horizontal="center" vertical="center" textRotation="90" wrapText="1"/>
    </xf>
    <xf numFmtId="0" fontId="16" fillId="19" borderId="26" xfId="0" applyFont="1" applyFill="1" applyBorder="1" applyAlignment="1">
      <alignment horizontal="left" vertical="center" indent="2"/>
    </xf>
    <xf numFmtId="164" fontId="16" fillId="19" borderId="27" xfId="0" applyNumberFormat="1" applyFont="1" applyFill="1" applyBorder="1" applyAlignment="1">
      <alignment vertical="center"/>
    </xf>
    <xf numFmtId="14" fontId="32" fillId="13" borderId="29" xfId="0" applyNumberFormat="1" applyFont="1" applyFill="1" applyBorder="1" applyAlignment="1">
      <alignment horizontal="left" vertical="center" wrapText="1" indent="1"/>
    </xf>
    <xf numFmtId="164" fontId="28" fillId="21" borderId="24" xfId="4" applyFont="1" applyFill="1" applyBorder="1" applyAlignment="1" applyProtection="1">
      <alignment horizontal="right" vertical="center"/>
      <protection locked="0"/>
    </xf>
    <xf numFmtId="164" fontId="28" fillId="21" borderId="0" xfId="4" applyFont="1" applyFill="1" applyBorder="1" applyAlignment="1" applyProtection="1">
      <alignment horizontal="right" vertical="center"/>
      <protection locked="0"/>
    </xf>
    <xf numFmtId="164" fontId="38" fillId="7" borderId="9" xfId="4" applyFont="1" applyFill="1" applyBorder="1" applyAlignment="1">
      <alignment horizontal="right"/>
    </xf>
    <xf numFmtId="164" fontId="38" fillId="7" borderId="29" xfId="4" applyFont="1" applyFill="1" applyBorder="1" applyAlignment="1">
      <alignment horizontal="right"/>
    </xf>
    <xf numFmtId="164" fontId="38" fillId="5" borderId="29" xfId="4" applyFont="1" applyFill="1" applyBorder="1" applyProtection="1">
      <protection locked="0"/>
    </xf>
    <xf numFmtId="164" fontId="38" fillId="5" borderId="18" xfId="4" applyFont="1" applyFill="1" applyBorder="1" applyProtection="1">
      <protection locked="0"/>
    </xf>
    <xf numFmtId="164" fontId="38" fillId="7" borderId="18" xfId="4" applyFont="1" applyFill="1" applyBorder="1" applyAlignment="1">
      <alignment horizontal="right"/>
    </xf>
    <xf numFmtId="164" fontId="38" fillId="5" borderId="29" xfId="4" applyFont="1" applyFill="1" applyBorder="1" applyAlignment="1" applyProtection="1">
      <alignment horizontal="right"/>
      <protection locked="0"/>
    </xf>
    <xf numFmtId="164" fontId="38" fillId="7" borderId="58" xfId="4" applyFont="1" applyFill="1" applyBorder="1" applyAlignment="1">
      <alignment horizontal="right"/>
    </xf>
    <xf numFmtId="164" fontId="38" fillId="7" borderId="46" xfId="4" applyFont="1" applyFill="1" applyBorder="1" applyAlignment="1">
      <alignment horizontal="right"/>
    </xf>
    <xf numFmtId="164" fontId="38" fillId="5" borderId="18" xfId="4" applyFont="1" applyFill="1" applyBorder="1" applyAlignment="1" applyProtection="1">
      <alignment horizontal="right"/>
      <protection locked="0"/>
    </xf>
    <xf numFmtId="164" fontId="45" fillId="4" borderId="4" xfId="4" applyFont="1" applyFill="1" applyBorder="1" applyAlignment="1">
      <alignment horizontal="right"/>
    </xf>
    <xf numFmtId="164" fontId="38" fillId="7" borderId="9" xfId="4" applyFont="1" applyFill="1" applyBorder="1" applyAlignment="1">
      <alignment horizontal="left"/>
    </xf>
    <xf numFmtId="164" fontId="38" fillId="7" borderId="18" xfId="4" applyFont="1" applyFill="1" applyBorder="1" applyAlignment="1">
      <alignment horizontal="left"/>
    </xf>
    <xf numFmtId="164" fontId="45" fillId="10" borderId="4" xfId="4" applyFont="1" applyFill="1" applyBorder="1" applyAlignment="1">
      <alignment horizontal="right"/>
    </xf>
    <xf numFmtId="164" fontId="45" fillId="5" borderId="4" xfId="4" applyFont="1" applyFill="1" applyBorder="1" applyAlignment="1" applyProtection="1">
      <alignment horizontal="right"/>
      <protection locked="0"/>
    </xf>
    <xf numFmtId="165" fontId="46" fillId="7" borderId="10" xfId="4" applyNumberFormat="1" applyFont="1" applyFill="1" applyBorder="1" applyAlignment="1">
      <alignment horizontal="right" vertical="center" indent="2"/>
    </xf>
    <xf numFmtId="164" fontId="46" fillId="7" borderId="10" xfId="4" applyFont="1" applyFill="1" applyBorder="1" applyAlignment="1">
      <alignment horizontal="right" vertical="center"/>
    </xf>
    <xf numFmtId="164" fontId="46" fillId="7" borderId="4" xfId="4" applyFont="1" applyFill="1" applyBorder="1" applyAlignment="1">
      <alignment horizontal="right" vertical="center" indent="3"/>
    </xf>
    <xf numFmtId="164" fontId="46" fillId="7" borderId="9" xfId="4" applyFont="1" applyFill="1" applyBorder="1" applyAlignment="1">
      <alignment horizontal="right" vertical="center" indent="1"/>
    </xf>
    <xf numFmtId="164" fontId="46" fillId="7" borderId="29" xfId="4" applyFont="1" applyFill="1" applyBorder="1" applyAlignment="1">
      <alignment horizontal="left" vertical="center"/>
    </xf>
    <xf numFmtId="164" fontId="46" fillId="7" borderId="18" xfId="4" applyFont="1" applyFill="1" applyBorder="1" applyAlignment="1">
      <alignment horizontal="left" vertical="center" indent="1"/>
    </xf>
    <xf numFmtId="165" fontId="46" fillId="5" borderId="9" xfId="4" applyNumberFormat="1" applyFont="1" applyFill="1" applyBorder="1" applyAlignment="1" applyProtection="1">
      <alignment horizontal="right" vertical="center" indent="2"/>
      <protection locked="0"/>
    </xf>
    <xf numFmtId="168" fontId="46" fillId="7" borderId="29" xfId="4" applyNumberFormat="1" applyFont="1" applyFill="1" applyBorder="1" applyAlignment="1">
      <alignment horizontal="right" vertical="center"/>
    </xf>
    <xf numFmtId="168" fontId="46" fillId="7" borderId="18" xfId="4" applyNumberFormat="1" applyFont="1" applyFill="1" applyBorder="1" applyAlignment="1">
      <alignment horizontal="right" vertical="center"/>
    </xf>
    <xf numFmtId="165" fontId="46" fillId="7" borderId="9" xfId="4" applyNumberFormat="1" applyFont="1" applyFill="1" applyBorder="1" applyAlignment="1">
      <alignment horizontal="right" vertical="center" indent="1"/>
    </xf>
    <xf numFmtId="164" fontId="45" fillId="4" borderId="67" xfId="4" applyFont="1" applyFill="1" applyBorder="1" applyAlignment="1">
      <alignment horizontal="left"/>
    </xf>
    <xf numFmtId="0" fontId="16" fillId="4" borderId="8" xfId="0" applyFont="1" applyFill="1" applyBorder="1" applyAlignment="1">
      <alignment horizontal="left" vertical="center" wrapText="1" indent="1"/>
    </xf>
    <xf numFmtId="0" fontId="16" fillId="4" borderId="3" xfId="0" applyFont="1" applyFill="1" applyBorder="1" applyAlignment="1">
      <alignment horizontal="left" vertical="center" wrapText="1" indent="1"/>
    </xf>
    <xf numFmtId="0" fontId="16" fillId="4" borderId="4" xfId="0" applyFont="1" applyFill="1" applyBorder="1" applyAlignment="1">
      <alignment horizontal="left" wrapText="1" indent="1"/>
    </xf>
    <xf numFmtId="0" fontId="0" fillId="5" borderId="7" xfId="0" applyFill="1" applyBorder="1" applyAlignment="1" applyProtection="1">
      <alignment horizontal="left" wrapText="1" indent="1"/>
      <protection locked="0"/>
    </xf>
    <xf numFmtId="0" fontId="15" fillId="5" borderId="33" xfId="0" applyFont="1" applyFill="1" applyBorder="1" applyAlignment="1" applyProtection="1">
      <alignment horizontal="left" wrapText="1" indent="1"/>
      <protection locked="0"/>
    </xf>
    <xf numFmtId="0" fontId="0" fillId="5" borderId="33" xfId="0" applyFill="1" applyBorder="1" applyAlignment="1" applyProtection="1">
      <alignment horizontal="left" wrapText="1" indent="1"/>
      <protection locked="0"/>
    </xf>
    <xf numFmtId="0" fontId="15" fillId="5" borderId="64" xfId="0" applyFont="1" applyFill="1" applyBorder="1" applyAlignment="1" applyProtection="1">
      <alignment horizontal="left" wrapText="1" indent="1"/>
      <protection locked="0"/>
    </xf>
    <xf numFmtId="0" fontId="0" fillId="5" borderId="5" xfId="0" applyFill="1" applyBorder="1" applyAlignment="1" applyProtection="1">
      <alignment horizontal="left" wrapText="1" indent="1"/>
      <protection locked="0"/>
    </xf>
    <xf numFmtId="0" fontId="15" fillId="5" borderId="30" xfId="0" applyFont="1" applyFill="1" applyBorder="1" applyAlignment="1" applyProtection="1">
      <alignment horizontal="left" wrapText="1" indent="1"/>
      <protection locked="0"/>
    </xf>
    <xf numFmtId="0" fontId="15" fillId="4" borderId="3" xfId="0" applyFont="1" applyFill="1" applyBorder="1" applyAlignment="1">
      <alignment horizontal="left" wrapText="1"/>
    </xf>
    <xf numFmtId="0" fontId="16" fillId="4" borderId="64" xfId="0" applyFont="1" applyFill="1" applyBorder="1" applyAlignment="1">
      <alignment horizontal="center" wrapText="1"/>
    </xf>
    <xf numFmtId="0" fontId="16" fillId="4" borderId="63" xfId="0" applyFont="1" applyFill="1" applyBorder="1" applyAlignment="1">
      <alignment horizontal="left" vertical="center" wrapText="1" indent="1"/>
    </xf>
    <xf numFmtId="0" fontId="16" fillId="4" borderId="64" xfId="0" applyFont="1" applyFill="1" applyBorder="1" applyAlignment="1">
      <alignment horizontal="left" vertical="center" wrapText="1" indent="1"/>
    </xf>
    <xf numFmtId="0" fontId="16" fillId="4" borderId="4" xfId="0" applyFont="1" applyFill="1" applyBorder="1" applyAlignment="1">
      <alignment horizontal="left" vertical="center" wrapText="1" indent="1"/>
    </xf>
    <xf numFmtId="0" fontId="16" fillId="4" borderId="8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left" vertical="center" wrapText="1" indent="2"/>
    </xf>
    <xf numFmtId="0" fontId="15" fillId="0" borderId="83" xfId="0" applyFont="1" applyBorder="1" applyAlignment="1" applyProtection="1">
      <alignment horizontal="center" vertical="center"/>
      <protection locked="0"/>
    </xf>
    <xf numFmtId="0" fontId="15" fillId="0" borderId="80" xfId="0" applyFont="1" applyBorder="1" applyAlignment="1" applyProtection="1">
      <alignment horizontal="center" vertical="center"/>
      <protection locked="0"/>
    </xf>
    <xf numFmtId="164" fontId="17" fillId="6" borderId="14" xfId="4" applyFont="1" applyFill="1" applyBorder="1" applyAlignment="1">
      <alignment horizontal="right" vertical="top"/>
    </xf>
    <xf numFmtId="9" fontId="17" fillId="7" borderId="7" xfId="13" applyFont="1" applyFill="1" applyBorder="1" applyAlignment="1">
      <alignment horizontal="center"/>
    </xf>
    <xf numFmtId="9" fontId="17" fillId="7" borderId="5" xfId="13" applyFont="1" applyFill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4" fontId="32" fillId="13" borderId="29" xfId="0" applyNumberFormat="1" applyFont="1" applyFill="1" applyBorder="1" applyAlignment="1">
      <alignment horizontal="left" vertical="center" indent="1"/>
    </xf>
    <xf numFmtId="0" fontId="15" fillId="22" borderId="0" xfId="0" applyFont="1" applyFill="1" applyAlignment="1">
      <alignment horizontal="left" vertical="center" indent="2"/>
    </xf>
    <xf numFmtId="0" fontId="15" fillId="22" borderId="0" xfId="0" applyFont="1" applyFill="1" applyAlignment="1">
      <alignment horizontal="center" vertical="center"/>
    </xf>
    <xf numFmtId="164" fontId="15" fillId="22" borderId="11" xfId="4" applyFont="1" applyFill="1" applyBorder="1" applyAlignment="1" applyProtection="1">
      <alignment vertical="center"/>
    </xf>
    <xf numFmtId="164" fontId="46" fillId="7" borderId="67" xfId="4" applyFont="1" applyFill="1" applyBorder="1" applyAlignment="1">
      <alignment horizontal="left" vertical="center" indent="1"/>
    </xf>
    <xf numFmtId="164" fontId="46" fillId="7" borderId="29" xfId="4" applyFont="1" applyFill="1" applyBorder="1" applyAlignment="1">
      <alignment horizontal="left" vertical="center" indent="1"/>
    </xf>
    <xf numFmtId="169" fontId="0" fillId="5" borderId="17" xfId="0" applyNumberFormat="1" applyFill="1" applyBorder="1" applyProtection="1">
      <protection locked="0"/>
    </xf>
    <xf numFmtId="169" fontId="0" fillId="5" borderId="65" xfId="0" applyNumberFormat="1" applyFill="1" applyBorder="1" applyProtection="1">
      <protection locked="0"/>
    </xf>
    <xf numFmtId="165" fontId="0" fillId="5" borderId="40" xfId="4" applyNumberFormat="1" applyFont="1" applyFill="1" applyBorder="1" applyProtection="1">
      <protection locked="0"/>
    </xf>
    <xf numFmtId="165" fontId="0" fillId="5" borderId="23" xfId="4" applyNumberFormat="1" applyFont="1" applyFill="1" applyBorder="1" applyProtection="1">
      <protection locked="0"/>
    </xf>
    <xf numFmtId="165" fontId="0" fillId="5" borderId="67" xfId="4" applyNumberFormat="1" applyFont="1" applyFill="1" applyBorder="1" applyProtection="1">
      <protection locked="0"/>
    </xf>
    <xf numFmtId="0" fontId="15" fillId="0" borderId="12" xfId="0" applyFont="1" applyBorder="1"/>
    <xf numFmtId="0" fontId="0" fillId="0" borderId="12" xfId="0" applyBorder="1"/>
    <xf numFmtId="0" fontId="20" fillId="5" borderId="21" xfId="0" applyFont="1" applyFill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 applyProtection="1">
      <alignment horizontal="left" wrapText="1" indent="1"/>
      <protection locked="0"/>
    </xf>
    <xf numFmtId="0" fontId="0" fillId="0" borderId="16" xfId="0" applyBorder="1" applyAlignment="1" applyProtection="1">
      <alignment horizontal="left" wrapText="1" indent="1"/>
      <protection locked="0"/>
    </xf>
    <xf numFmtId="0" fontId="20" fillId="5" borderId="44" xfId="0" applyFont="1" applyFill="1" applyBorder="1" applyAlignment="1" applyProtection="1">
      <alignment horizontal="left" vertical="center" wrapText="1" indent="1"/>
      <protection locked="0"/>
    </xf>
    <xf numFmtId="0" fontId="0" fillId="0" borderId="45" xfId="0" applyBorder="1" applyAlignment="1" applyProtection="1">
      <alignment horizontal="left" wrapText="1" indent="1"/>
      <protection locked="0"/>
    </xf>
    <xf numFmtId="0" fontId="0" fillId="0" borderId="46" xfId="0" applyBorder="1" applyAlignment="1" applyProtection="1">
      <alignment horizontal="left" wrapText="1" indent="1"/>
      <protection locked="0"/>
    </xf>
    <xf numFmtId="14" fontId="20" fillId="5" borderId="44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45" xfId="0" applyNumberFormat="1" applyBorder="1" applyAlignment="1" applyProtection="1">
      <alignment horizontal="left" wrapText="1" indent="1"/>
      <protection locked="0"/>
    </xf>
    <xf numFmtId="14" fontId="0" fillId="0" borderId="46" xfId="0" applyNumberFormat="1" applyBorder="1" applyAlignment="1" applyProtection="1">
      <alignment horizontal="left" wrapText="1" indent="1"/>
      <protection locked="0"/>
    </xf>
    <xf numFmtId="0" fontId="0" fillId="5" borderId="38" xfId="0" applyFill="1" applyBorder="1" applyAlignment="1">
      <alignment horizontal="left" wrapText="1" indent="1"/>
    </xf>
    <xf numFmtId="0" fontId="0" fillId="5" borderId="68" xfId="0" applyFill="1" applyBorder="1" applyAlignment="1">
      <alignment horizontal="left" wrapText="1" indent="1"/>
    </xf>
    <xf numFmtId="0" fontId="16" fillId="6" borderId="59" xfId="0" applyFont="1" applyFill="1" applyBorder="1" applyAlignment="1">
      <alignment horizontal="left" vertical="center" wrapText="1" indent="1"/>
    </xf>
    <xf numFmtId="0" fontId="16" fillId="6" borderId="45" xfId="0" applyFont="1" applyFill="1" applyBorder="1" applyAlignment="1">
      <alignment horizontal="left" vertical="center" wrapText="1" indent="1"/>
    </xf>
    <xf numFmtId="0" fontId="16" fillId="6" borderId="53" xfId="0" applyFont="1" applyFill="1" applyBorder="1" applyAlignment="1">
      <alignment horizontal="left" vertical="center" wrapText="1" indent="1"/>
    </xf>
    <xf numFmtId="0" fontId="28" fillId="7" borderId="21" xfId="0" applyFont="1" applyFill="1" applyBorder="1" applyAlignment="1">
      <alignment horizontal="left" wrapText="1" indent="1"/>
    </xf>
    <xf numFmtId="0" fontId="13" fillId="0" borderId="15" xfId="0" applyFont="1" applyBorder="1" applyAlignment="1">
      <alignment horizontal="left" wrapText="1" indent="1"/>
    </xf>
    <xf numFmtId="0" fontId="13" fillId="0" borderId="22" xfId="0" applyFont="1" applyBorder="1" applyAlignment="1">
      <alignment horizontal="left" wrapText="1" indent="1"/>
    </xf>
    <xf numFmtId="0" fontId="16" fillId="4" borderId="66" xfId="0" applyFont="1" applyFill="1" applyBorder="1" applyAlignment="1">
      <alignment horizontal="left" wrapText="1" indent="1"/>
    </xf>
    <xf numFmtId="0" fontId="0" fillId="4" borderId="23" xfId="0" applyFill="1" applyBorder="1" applyAlignment="1">
      <alignment horizontal="left" wrapText="1" indent="1"/>
    </xf>
    <xf numFmtId="0" fontId="0" fillId="4" borderId="32" xfId="0" applyFill="1" applyBorder="1" applyAlignment="1">
      <alignment horizontal="left" wrapText="1" indent="1"/>
    </xf>
    <xf numFmtId="0" fontId="28" fillId="7" borderId="37" xfId="0" applyFont="1" applyFill="1" applyBorder="1" applyAlignment="1">
      <alignment horizontal="left" wrapText="1" indent="1"/>
    </xf>
    <xf numFmtId="0" fontId="13" fillId="0" borderId="38" xfId="0" applyFont="1" applyBorder="1" applyAlignment="1">
      <alignment horizontal="left" wrapText="1" indent="1"/>
    </xf>
    <xf numFmtId="0" fontId="13" fillId="0" borderId="39" xfId="0" applyFont="1" applyBorder="1" applyAlignment="1">
      <alignment horizontal="left" wrapText="1" indent="1"/>
    </xf>
    <xf numFmtId="0" fontId="0" fillId="0" borderId="24" xfId="0" applyBorder="1"/>
    <xf numFmtId="165" fontId="10" fillId="9" borderId="19" xfId="4" applyNumberFormat="1" applyFont="1" applyFill="1" applyBorder="1" applyAlignment="1">
      <alignment horizontal="right" vertical="center"/>
    </xf>
    <xf numFmtId="0" fontId="0" fillId="9" borderId="25" xfId="0" applyFill="1" applyBorder="1"/>
    <xf numFmtId="0" fontId="0" fillId="9" borderId="35" xfId="0" applyFill="1" applyBorder="1"/>
    <xf numFmtId="0" fontId="0" fillId="9" borderId="11" xfId="0" applyFill="1" applyBorder="1"/>
    <xf numFmtId="0" fontId="0" fillId="9" borderId="26" xfId="0" applyFill="1" applyBorder="1"/>
    <xf numFmtId="0" fontId="0" fillId="9" borderId="27" xfId="0" applyFill="1" applyBorder="1"/>
    <xf numFmtId="0" fontId="0" fillId="0" borderId="23" xfId="0" applyBorder="1"/>
    <xf numFmtId="0" fontId="16" fillId="7" borderId="2" xfId="0" applyFont="1" applyFill="1" applyBorder="1" applyAlignment="1">
      <alignment horizontal="left" vertical="center" wrapText="1" indent="1"/>
    </xf>
    <xf numFmtId="0" fontId="0" fillId="7" borderId="5" xfId="0" applyFill="1" applyBorder="1" applyAlignment="1">
      <alignment horizontal="left" vertical="center" wrapText="1" indent="1"/>
    </xf>
    <xf numFmtId="0" fontId="16" fillId="7" borderId="47" xfId="0" applyFont="1" applyFill="1" applyBorder="1" applyAlignment="1">
      <alignment horizontal="left" vertical="center" wrapText="1" indent="1"/>
    </xf>
    <xf numFmtId="0" fontId="16" fillId="7" borderId="12" xfId="0" applyFont="1" applyFill="1" applyBorder="1" applyAlignment="1">
      <alignment horizontal="left" vertical="center" wrapText="1" indent="1"/>
    </xf>
    <xf numFmtId="0" fontId="16" fillId="7" borderId="20" xfId="0" applyFont="1" applyFill="1" applyBorder="1" applyAlignment="1">
      <alignment horizontal="left" vertical="center" wrapText="1" indent="1"/>
    </xf>
    <xf numFmtId="0" fontId="18" fillId="3" borderId="47" xfId="3" applyFont="1" applyBorder="1" applyAlignment="1" applyProtection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6" fillId="10" borderId="20" xfId="0" applyFont="1" applyFill="1" applyBorder="1" applyAlignment="1">
      <alignment horizontal="left" wrapText="1" indent="1"/>
    </xf>
    <xf numFmtId="0" fontId="14" fillId="10" borderId="3" xfId="0" applyFont="1" applyFill="1" applyBorder="1" applyAlignment="1">
      <alignment horizontal="left" wrapText="1" indent="1"/>
    </xf>
    <xf numFmtId="0" fontId="16" fillId="7" borderId="48" xfId="0" applyFont="1" applyFill="1" applyBorder="1" applyAlignment="1">
      <alignment horizontal="left" vertical="center" wrapText="1" indent="1"/>
    </xf>
    <xf numFmtId="0" fontId="16" fillId="7" borderId="15" xfId="0" applyFont="1" applyFill="1" applyBorder="1" applyAlignment="1">
      <alignment horizontal="left" vertical="center" wrapText="1" indent="1"/>
    </xf>
    <xf numFmtId="0" fontId="16" fillId="7" borderId="22" xfId="0" applyFont="1" applyFill="1" applyBorder="1" applyAlignment="1">
      <alignment horizontal="left" vertical="center" wrapText="1" indent="1"/>
    </xf>
    <xf numFmtId="0" fontId="16" fillId="8" borderId="19" xfId="0" applyFont="1" applyFill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16" fillId="7" borderId="49" xfId="0" applyFont="1" applyFill="1" applyBorder="1" applyAlignment="1">
      <alignment horizontal="left" vertical="center" wrapText="1" indent="1"/>
    </xf>
    <xf numFmtId="0" fontId="16" fillId="7" borderId="38" xfId="0" applyFont="1" applyFill="1" applyBorder="1" applyAlignment="1">
      <alignment horizontal="left" vertical="center" wrapText="1" indent="1"/>
    </xf>
    <xf numFmtId="0" fontId="16" fillId="7" borderId="39" xfId="0" applyFont="1" applyFill="1" applyBorder="1" applyAlignment="1">
      <alignment horizontal="left" vertical="center" wrapText="1" indent="1"/>
    </xf>
    <xf numFmtId="0" fontId="16" fillId="7" borderId="6" xfId="0" applyFont="1" applyFill="1" applyBorder="1" applyAlignment="1">
      <alignment horizontal="left" vertical="center" wrapText="1" indent="1"/>
    </xf>
    <xf numFmtId="0" fontId="0" fillId="7" borderId="7" xfId="0" applyFill="1" applyBorder="1" applyAlignment="1">
      <alignment horizontal="left" vertical="center" wrapText="1" indent="1"/>
    </xf>
    <xf numFmtId="0" fontId="16" fillId="7" borderId="28" xfId="0" applyFont="1" applyFill="1" applyBorder="1" applyAlignment="1">
      <alignment horizontal="left" vertical="center" wrapText="1" indent="1"/>
    </xf>
    <xf numFmtId="0" fontId="0" fillId="7" borderId="33" xfId="0" applyFill="1" applyBorder="1" applyAlignment="1">
      <alignment horizontal="left" vertical="center" wrapText="1" indent="1"/>
    </xf>
    <xf numFmtId="0" fontId="16" fillId="8" borderId="50" xfId="0" applyFont="1" applyFill="1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textRotation="90" wrapText="1"/>
    </xf>
    <xf numFmtId="0" fontId="16" fillId="4" borderId="3" xfId="0" applyFont="1" applyFill="1" applyBorder="1" applyAlignment="1">
      <alignment horizontal="left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 textRotation="90" wrapText="1"/>
    </xf>
    <xf numFmtId="0" fontId="16" fillId="8" borderId="50" xfId="0" applyFont="1" applyFill="1" applyBorder="1" applyAlignment="1">
      <alignment horizontal="center" vertical="center" textRotation="90"/>
    </xf>
    <xf numFmtId="0" fontId="14" fillId="8" borderId="51" xfId="0" applyFont="1" applyFill="1" applyBorder="1" applyAlignment="1">
      <alignment horizontal="center" vertical="center" textRotation="90"/>
    </xf>
    <xf numFmtId="0" fontId="14" fillId="8" borderId="52" xfId="0" applyFont="1" applyFill="1" applyBorder="1" applyAlignment="1">
      <alignment horizontal="center" vertical="center" textRotation="90"/>
    </xf>
    <xf numFmtId="0" fontId="16" fillId="6" borderId="48" xfId="0" applyFont="1" applyFill="1" applyBorder="1" applyAlignment="1">
      <alignment horizontal="left" vertical="center" wrapText="1" indent="1"/>
    </xf>
    <xf numFmtId="0" fontId="0" fillId="6" borderId="15" xfId="0" applyFill="1" applyBorder="1" applyAlignment="1">
      <alignment horizontal="left" wrapText="1" indent="1"/>
    </xf>
    <xf numFmtId="0" fontId="0" fillId="6" borderId="22" xfId="0" applyFill="1" applyBorder="1" applyAlignment="1">
      <alignment horizontal="left" wrapText="1" indent="1"/>
    </xf>
    <xf numFmtId="0" fontId="0" fillId="6" borderId="45" xfId="0" applyFill="1" applyBorder="1" applyAlignment="1">
      <alignment horizontal="left" wrapText="1" indent="1"/>
    </xf>
    <xf numFmtId="0" fontId="0" fillId="6" borderId="53" xfId="0" applyFill="1" applyBorder="1" applyAlignment="1">
      <alignment horizontal="left" wrapText="1" indent="1"/>
    </xf>
    <xf numFmtId="0" fontId="16" fillId="6" borderId="49" xfId="0" applyFont="1" applyFill="1" applyBorder="1" applyAlignment="1">
      <alignment horizontal="left" vertical="center" wrapText="1" indent="1"/>
    </xf>
    <xf numFmtId="0" fontId="0" fillId="6" borderId="38" xfId="0" applyFill="1" applyBorder="1" applyAlignment="1">
      <alignment horizontal="left" wrapText="1" indent="1"/>
    </xf>
    <xf numFmtId="0" fontId="0" fillId="6" borderId="39" xfId="0" applyFill="1" applyBorder="1" applyAlignment="1">
      <alignment horizontal="left" wrapText="1" indent="1"/>
    </xf>
    <xf numFmtId="0" fontId="0" fillId="6" borderId="45" xfId="0" applyFill="1" applyBorder="1" applyAlignment="1">
      <alignment horizontal="left" vertical="center" wrapText="1" indent="1"/>
    </xf>
    <xf numFmtId="0" fontId="0" fillId="6" borderId="53" xfId="0" applyFill="1" applyBorder="1" applyAlignment="1">
      <alignment horizontal="left" vertical="center" wrapText="1" indent="1"/>
    </xf>
    <xf numFmtId="0" fontId="15" fillId="6" borderId="33" xfId="0" applyFont="1" applyFill="1" applyBorder="1" applyAlignment="1">
      <alignment horizontal="left" wrapText="1" indent="1"/>
    </xf>
    <xf numFmtId="0" fontId="0" fillId="6" borderId="33" xfId="0" applyFill="1" applyBorder="1" applyAlignment="1">
      <alignment horizontal="left" wrapText="1" indent="1"/>
    </xf>
    <xf numFmtId="0" fontId="0" fillId="0" borderId="33" xfId="0" applyBorder="1" applyAlignment="1">
      <alignment horizontal="left" wrapText="1" indent="1"/>
    </xf>
    <xf numFmtId="0" fontId="16" fillId="6" borderId="28" xfId="0" applyFont="1" applyFill="1" applyBorder="1" applyAlignment="1">
      <alignment horizontal="left" vertical="center" textRotation="90"/>
    </xf>
    <xf numFmtId="0" fontId="0" fillId="0" borderId="33" xfId="0" applyBorder="1"/>
    <xf numFmtId="0" fontId="0" fillId="0" borderId="29" xfId="0" applyBorder="1"/>
    <xf numFmtId="0" fontId="15" fillId="6" borderId="5" xfId="0" applyFont="1" applyFill="1" applyBorder="1" applyAlignment="1">
      <alignment horizontal="left" wrapText="1" indent="1"/>
    </xf>
    <xf numFmtId="0" fontId="0" fillId="6" borderId="5" xfId="0" applyFill="1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0" fillId="0" borderId="34" xfId="0" applyBorder="1" applyAlignment="1">
      <alignment horizontal="left" wrapText="1" indent="1"/>
    </xf>
    <xf numFmtId="0" fontId="16" fillId="0" borderId="69" xfId="0" applyFont="1" applyBorder="1" applyAlignment="1">
      <alignment horizontal="left" vertical="center" textRotation="90"/>
    </xf>
    <xf numFmtId="0" fontId="0" fillId="0" borderId="36" xfId="0" applyBorder="1"/>
    <xf numFmtId="0" fontId="0" fillId="0" borderId="70" xfId="0" applyBorder="1"/>
    <xf numFmtId="0" fontId="16" fillId="4" borderId="20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6" borderId="33" xfId="0" applyFill="1" applyBorder="1"/>
    <xf numFmtId="0" fontId="0" fillId="6" borderId="44" xfId="0" applyFill="1" applyBorder="1"/>
    <xf numFmtId="0" fontId="15" fillId="6" borderId="44" xfId="0" applyFont="1" applyFill="1" applyBorder="1" applyAlignment="1">
      <alignment horizontal="left" wrapText="1" indent="1"/>
    </xf>
    <xf numFmtId="0" fontId="0" fillId="0" borderId="45" xfId="0" applyBorder="1" applyAlignment="1">
      <alignment horizontal="left" wrapText="1" indent="1"/>
    </xf>
    <xf numFmtId="0" fontId="0" fillId="0" borderId="53" xfId="0" applyBorder="1" applyAlignment="1">
      <alignment horizontal="left" wrapText="1" indent="1"/>
    </xf>
    <xf numFmtId="0" fontId="15" fillId="5" borderId="33" xfId="0" applyFont="1" applyFill="1" applyBorder="1" applyAlignment="1" applyProtection="1">
      <alignment horizontal="left" wrapText="1" indent="1"/>
      <protection locked="0"/>
    </xf>
    <xf numFmtId="0" fontId="16" fillId="0" borderId="60" xfId="0" applyFont="1" applyBorder="1" applyAlignment="1">
      <alignment horizontal="left" vertical="center" textRotation="90"/>
    </xf>
    <xf numFmtId="0" fontId="0" fillId="0" borderId="42" xfId="0" applyBorder="1"/>
    <xf numFmtId="0" fontId="0" fillId="0" borderId="61" xfId="0" applyBorder="1"/>
    <xf numFmtId="0" fontId="15" fillId="0" borderId="59" xfId="0" applyFont="1" applyBorder="1" applyAlignment="1">
      <alignment horizontal="left"/>
    </xf>
    <xf numFmtId="0" fontId="0" fillId="0" borderId="45" xfId="0" applyBorder="1"/>
    <xf numFmtId="0" fontId="0" fillId="0" borderId="46" xfId="0" applyBorder="1"/>
    <xf numFmtId="0" fontId="0" fillId="6" borderId="64" xfId="0" applyFill="1" applyBorder="1"/>
    <xf numFmtId="0" fontId="0" fillId="6" borderId="14" xfId="0" applyFill="1" applyBorder="1"/>
    <xf numFmtId="0" fontId="0" fillId="6" borderId="30" xfId="0" applyFill="1" applyBorder="1"/>
    <xf numFmtId="0" fontId="16" fillId="4" borderId="3" xfId="0" applyFont="1" applyFill="1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15" fillId="5" borderId="33" xfId="0" applyFont="1" applyFill="1" applyBorder="1" applyAlignment="1" applyProtection="1">
      <alignment horizontal="left" vertical="center" wrapText="1" indent="1"/>
      <protection locked="0"/>
    </xf>
    <xf numFmtId="0" fontId="0" fillId="5" borderId="33" xfId="0" applyFill="1" applyBorder="1" applyAlignment="1" applyProtection="1">
      <alignment horizontal="left" wrapText="1" indent="1"/>
      <protection locked="0"/>
    </xf>
    <xf numFmtId="0" fontId="15" fillId="5" borderId="64" xfId="0" applyFont="1" applyFill="1" applyBorder="1" applyAlignment="1" applyProtection="1">
      <alignment horizontal="left" vertical="center" wrapText="1" indent="1"/>
      <protection locked="0"/>
    </xf>
    <xf numFmtId="0" fontId="0" fillId="5" borderId="64" xfId="0" applyFill="1" applyBorder="1" applyAlignment="1" applyProtection="1">
      <alignment horizontal="left" wrapText="1" indent="1"/>
      <protection locked="0"/>
    </xf>
    <xf numFmtId="0" fontId="15" fillId="5" borderId="30" xfId="0" applyFont="1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wrapText="1" indent="1"/>
      <protection locked="0"/>
    </xf>
    <xf numFmtId="0" fontId="16" fillId="4" borderId="64" xfId="0" applyFont="1" applyFill="1" applyBorder="1" applyAlignment="1">
      <alignment horizontal="left" vertical="center" wrapText="1" indent="1"/>
    </xf>
    <xf numFmtId="0" fontId="0" fillId="0" borderId="64" xfId="0" applyBorder="1" applyAlignment="1">
      <alignment horizontal="left" vertical="center" wrapText="1" indent="1"/>
    </xf>
    <xf numFmtId="0" fontId="15" fillId="6" borderId="41" xfId="0" applyFont="1" applyFill="1" applyBorder="1" applyAlignment="1">
      <alignment horizontal="left" wrapText="1" indent="1"/>
    </xf>
    <xf numFmtId="0" fontId="0" fillId="6" borderId="42" xfId="0" applyFill="1" applyBorder="1" applyAlignment="1">
      <alignment horizontal="left" wrapText="1" indent="1"/>
    </xf>
    <xf numFmtId="0" fontId="0" fillId="6" borderId="43" xfId="0" applyFill="1" applyBorder="1" applyAlignment="1">
      <alignment horizontal="left" wrapText="1" indent="1"/>
    </xf>
    <xf numFmtId="0" fontId="15" fillId="6" borderId="7" xfId="0" applyFont="1" applyFill="1" applyBorder="1" applyAlignment="1">
      <alignment horizontal="left" wrapText="1" indent="1"/>
    </xf>
    <xf numFmtId="0" fontId="0" fillId="0" borderId="7" xfId="0" applyBorder="1" applyAlignment="1">
      <alignment horizontal="left" wrapText="1" indent="1"/>
    </xf>
    <xf numFmtId="0" fontId="28" fillId="6" borderId="20" xfId="0" applyFont="1" applyFill="1" applyBorder="1" applyAlignment="1">
      <alignment horizontal="left" wrapText="1" indent="1"/>
    </xf>
    <xf numFmtId="0" fontId="13" fillId="6" borderId="3" xfId="0" applyFont="1" applyFill="1" applyBorder="1" applyAlignment="1">
      <alignment horizontal="left" wrapText="1" indent="1"/>
    </xf>
    <xf numFmtId="0" fontId="19" fillId="0" borderId="24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16" fillId="8" borderId="19" xfId="0" applyFont="1" applyFill="1" applyBorder="1" applyAlignment="1">
      <alignment horizontal="center" vertical="center" textRotation="90"/>
    </xf>
    <xf numFmtId="0" fontId="16" fillId="8" borderId="35" xfId="0" applyFont="1" applyFill="1" applyBorder="1" applyAlignment="1">
      <alignment horizontal="center" vertical="center" textRotation="90"/>
    </xf>
    <xf numFmtId="0" fontId="16" fillId="8" borderId="26" xfId="0" applyFont="1" applyFill="1" applyBorder="1" applyAlignment="1">
      <alignment horizontal="center" vertical="center" textRotation="90"/>
    </xf>
    <xf numFmtId="0" fontId="16" fillId="8" borderId="54" xfId="0" applyFont="1" applyFill="1" applyBorder="1" applyAlignment="1">
      <alignment horizontal="center" vertical="center" textRotation="90" wrapText="1"/>
    </xf>
    <xf numFmtId="0" fontId="16" fillId="8" borderId="55" xfId="0" applyFont="1" applyFill="1" applyBorder="1" applyAlignment="1">
      <alignment horizontal="center" vertical="center" textRotation="90" wrapText="1"/>
    </xf>
    <xf numFmtId="0" fontId="16" fillId="8" borderId="56" xfId="0" applyFont="1" applyFill="1" applyBorder="1" applyAlignment="1">
      <alignment horizontal="center" vertical="center" textRotation="90" wrapText="1"/>
    </xf>
    <xf numFmtId="0" fontId="15" fillId="6" borderId="37" xfId="0" applyFont="1" applyFill="1" applyBorder="1" applyAlignment="1">
      <alignment horizontal="left" wrapText="1" indent="1"/>
    </xf>
    <xf numFmtId="0" fontId="0" fillId="0" borderId="38" xfId="0" applyBorder="1" applyAlignment="1">
      <alignment horizontal="left" wrapText="1" indent="1"/>
    </xf>
    <xf numFmtId="0" fontId="0" fillId="0" borderId="39" xfId="0" applyBorder="1" applyAlignment="1">
      <alignment horizontal="left" wrapText="1" indent="1"/>
    </xf>
    <xf numFmtId="0" fontId="15" fillId="5" borderId="41" xfId="0" applyFont="1" applyFill="1" applyBorder="1" applyAlignment="1" applyProtection="1">
      <alignment horizontal="left" wrapText="1" indent="1"/>
      <protection locked="0"/>
    </xf>
    <xf numFmtId="0" fontId="15" fillId="5" borderId="43" xfId="0" applyFont="1" applyFill="1" applyBorder="1" applyAlignment="1" applyProtection="1">
      <alignment horizontal="left" wrapText="1" indent="1"/>
      <protection locked="0"/>
    </xf>
    <xf numFmtId="0" fontId="15" fillId="5" borderId="75" xfId="0" applyFont="1" applyFill="1" applyBorder="1" applyAlignment="1" applyProtection="1">
      <alignment horizontal="left" wrapText="1" indent="1"/>
      <protection locked="0"/>
    </xf>
    <xf numFmtId="0" fontId="15" fillId="5" borderId="73" xfId="0" applyFont="1" applyFill="1" applyBorder="1" applyAlignment="1" applyProtection="1">
      <alignment horizontal="left" wrapText="1" indent="1"/>
      <protection locked="0"/>
    </xf>
    <xf numFmtId="0" fontId="43" fillId="3" borderId="47" xfId="3" applyFont="1" applyBorder="1" applyAlignment="1" applyProtection="1">
      <alignment horizontal="center" vertical="center"/>
    </xf>
    <xf numFmtId="0" fontId="43" fillId="3" borderId="12" xfId="3" applyFont="1" applyBorder="1" applyAlignment="1" applyProtection="1">
      <alignment horizontal="center" vertical="center"/>
    </xf>
    <xf numFmtId="0" fontId="43" fillId="3" borderId="13" xfId="3" applyFont="1" applyBorder="1" applyAlignment="1" applyProtection="1">
      <alignment horizontal="center" vertical="center"/>
    </xf>
    <xf numFmtId="0" fontId="15" fillId="5" borderId="47" xfId="0" applyFont="1" applyFill="1" applyBorder="1" applyAlignment="1" applyProtection="1">
      <alignment horizontal="left" vertical="top" wrapText="1"/>
      <protection locked="0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3" xfId="0" applyFont="1" applyFill="1" applyBorder="1" applyAlignment="1" applyProtection="1">
      <alignment horizontal="left" vertical="top" wrapText="1"/>
      <protection locked="0"/>
    </xf>
    <xf numFmtId="0" fontId="16" fillId="7" borderId="7" xfId="0" applyFont="1" applyFill="1" applyBorder="1" applyAlignment="1">
      <alignment horizontal="left" vertical="center" wrapText="1" indent="1"/>
    </xf>
    <xf numFmtId="165" fontId="10" fillId="9" borderId="24" xfId="4" applyNumberFormat="1" applyFont="1" applyFill="1" applyBorder="1" applyAlignment="1">
      <alignment horizontal="right" vertical="center"/>
    </xf>
    <xf numFmtId="0" fontId="0" fillId="9" borderId="0" xfId="0" applyFill="1"/>
    <xf numFmtId="0" fontId="0" fillId="9" borderId="23" xfId="0" applyFill="1" applyBorder="1"/>
    <xf numFmtId="0" fontId="16" fillId="7" borderId="33" xfId="0" applyFont="1" applyFill="1" applyBorder="1" applyAlignment="1">
      <alignment horizontal="left" vertical="center" wrapText="1" indent="1"/>
    </xf>
    <xf numFmtId="0" fontId="16" fillId="7" borderId="5" xfId="0" applyFont="1" applyFill="1" applyBorder="1" applyAlignment="1">
      <alignment horizontal="left" vertical="center" wrapText="1" indent="1"/>
    </xf>
    <xf numFmtId="164" fontId="29" fillId="0" borderId="24" xfId="4" applyFont="1" applyBorder="1" applyAlignment="1"/>
    <xf numFmtId="0" fontId="14" fillId="0" borderId="24" xfId="0" applyFont="1" applyBorder="1"/>
    <xf numFmtId="0" fontId="18" fillId="14" borderId="47" xfId="3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30" fillId="4" borderId="47" xfId="3" applyFont="1" applyFill="1" applyBorder="1" applyAlignment="1" applyProtection="1">
      <alignment horizontal="center" vertical="center"/>
    </xf>
    <xf numFmtId="0" fontId="30" fillId="4" borderId="1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/>
    <xf numFmtId="0" fontId="37" fillId="18" borderId="47" xfId="0" applyFont="1" applyFill="1" applyBorder="1" applyAlignment="1">
      <alignment horizontal="center" vertical="center"/>
    </xf>
    <xf numFmtId="0" fontId="45" fillId="18" borderId="12" xfId="0" applyFont="1" applyFill="1" applyBorder="1" applyAlignment="1">
      <alignment horizontal="center" vertical="center"/>
    </xf>
    <xf numFmtId="0" fontId="45" fillId="18" borderId="13" xfId="0" applyFont="1" applyFill="1" applyBorder="1" applyAlignment="1">
      <alignment horizontal="center" vertical="center"/>
    </xf>
    <xf numFmtId="0" fontId="15" fillId="0" borderId="47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18" fillId="18" borderId="19" xfId="0" applyFont="1" applyFill="1" applyBorder="1" applyAlignment="1">
      <alignment horizontal="center" vertical="center" wrapText="1"/>
    </xf>
    <xf numFmtId="0" fontId="18" fillId="18" borderId="25" xfId="0" applyFont="1" applyFill="1" applyBorder="1" applyAlignment="1">
      <alignment horizontal="center" vertical="center" wrapText="1"/>
    </xf>
    <xf numFmtId="0" fontId="18" fillId="18" borderId="47" xfId="0" applyFont="1" applyFill="1" applyBorder="1" applyAlignment="1">
      <alignment horizontal="center" vertical="center" wrapText="1"/>
    </xf>
    <xf numFmtId="0" fontId="18" fillId="18" borderId="12" xfId="0" applyFont="1" applyFill="1" applyBorder="1" applyAlignment="1">
      <alignment horizontal="center" vertical="center" wrapText="1"/>
    </xf>
    <xf numFmtId="0" fontId="18" fillId="18" borderId="13" xfId="0" applyFont="1" applyFill="1" applyBorder="1" applyAlignment="1">
      <alignment horizontal="center" vertical="center" wrapText="1"/>
    </xf>
    <xf numFmtId="0" fontId="38" fillId="18" borderId="12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center" vertical="center"/>
    </xf>
    <xf numFmtId="0" fontId="37" fillId="18" borderId="19" xfId="0" applyFont="1" applyFill="1" applyBorder="1" applyAlignment="1">
      <alignment horizontal="center" vertical="center"/>
    </xf>
    <xf numFmtId="0" fontId="38" fillId="18" borderId="24" xfId="0" applyFont="1" applyFill="1" applyBorder="1" applyAlignment="1">
      <alignment horizontal="center" vertical="center"/>
    </xf>
    <xf numFmtId="0" fontId="38" fillId="18" borderId="25" xfId="0" applyFont="1" applyFill="1" applyBorder="1" applyAlignment="1">
      <alignment horizontal="center" vertical="center"/>
    </xf>
    <xf numFmtId="0" fontId="16" fillId="7" borderId="59" xfId="0" applyFont="1" applyFill="1" applyBorder="1" applyAlignment="1">
      <alignment horizontal="left" vertical="center" indent="1"/>
    </xf>
    <xf numFmtId="0" fontId="15" fillId="0" borderId="45" xfId="0" applyFont="1" applyBorder="1" applyAlignment="1">
      <alignment horizontal="left" vertical="center" indent="1"/>
    </xf>
    <xf numFmtId="0" fontId="35" fillId="15" borderId="47" xfId="0" applyFont="1" applyFill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5" fillId="15" borderId="12" xfId="0" applyFont="1" applyFill="1" applyBorder="1" applyAlignment="1">
      <alignment horizontal="center"/>
    </xf>
    <xf numFmtId="0" fontId="35" fillId="15" borderId="13" xfId="0" applyFont="1" applyFill="1" applyBorder="1" applyAlignment="1">
      <alignment horizontal="center"/>
    </xf>
    <xf numFmtId="0" fontId="14" fillId="16" borderId="19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50" xfId="0" applyFont="1" applyFill="1" applyBorder="1" applyAlignment="1">
      <alignment horizontal="center" wrapText="1"/>
    </xf>
    <xf numFmtId="0" fontId="14" fillId="16" borderId="52" xfId="0" applyFont="1" applyFill="1" applyBorder="1" applyAlignment="1">
      <alignment horizontal="center"/>
    </xf>
    <xf numFmtId="165" fontId="0" fillId="20" borderId="86" xfId="4" applyNumberFormat="1" applyFont="1" applyFill="1" applyBorder="1" applyAlignment="1">
      <alignment horizontal="center"/>
    </xf>
    <xf numFmtId="165" fontId="0" fillId="20" borderId="87" xfId="4" applyNumberFormat="1" applyFont="1" applyFill="1" applyBorder="1" applyAlignment="1">
      <alignment horizontal="center"/>
    </xf>
    <xf numFmtId="165" fontId="0" fillId="20" borderId="87" xfId="4" applyNumberFormat="1" applyFont="1" applyFill="1" applyBorder="1" applyProtection="1"/>
    <xf numFmtId="165" fontId="0" fillId="20" borderId="87" xfId="4" applyNumberFormat="1" applyFont="1" applyFill="1" applyBorder="1"/>
    <xf numFmtId="165" fontId="0" fillId="5" borderId="87" xfId="4" applyNumberFormat="1" applyFont="1" applyFill="1" applyBorder="1" applyProtection="1">
      <protection locked="0"/>
    </xf>
    <xf numFmtId="165" fontId="0" fillId="0" borderId="88" xfId="4" applyNumberFormat="1" applyFont="1" applyBorder="1" applyProtection="1"/>
  </cellXfs>
  <cellStyles count="15">
    <cellStyle name="1000-sep (2 dec) 2" xfId="1" xr:uid="{00000000-0005-0000-0000-000000000000}"/>
    <cellStyle name="1000-sep (2 dec) 3" xfId="2" xr:uid="{00000000-0005-0000-0000-000001000000}"/>
    <cellStyle name="Farve5" xfId="3" builtinId="45"/>
    <cellStyle name="Komma" xfId="4" builtinId="3"/>
    <cellStyle name="Link" xfId="14" builtinId="8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Output Amounts" xfId="8" xr:uid="{00000000-0005-0000-0000-000008000000}"/>
    <cellStyle name="Output Column Headings" xfId="9" xr:uid="{00000000-0005-0000-0000-000009000000}"/>
    <cellStyle name="Output Line Items" xfId="10" xr:uid="{00000000-0005-0000-0000-00000A000000}"/>
    <cellStyle name="Output Report Heading" xfId="11" xr:uid="{00000000-0005-0000-0000-00000B000000}"/>
    <cellStyle name="Output Report Title" xfId="12" xr:uid="{00000000-0005-0000-0000-00000C000000}"/>
    <cellStyle name="Procent" xfId="1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565"/>
        </patternFill>
      </fill>
    </dxf>
    <dxf>
      <font>
        <b/>
        <i val="0"/>
        <strike val="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3CB4D0"/>
      <color rgb="FFFFFFCC"/>
      <color rgb="FF669900"/>
      <color rgb="FFCCFFCC"/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</xdr:row>
      <xdr:rowOff>238125</xdr:rowOff>
    </xdr:from>
    <xdr:to>
      <xdr:col>12</xdr:col>
      <xdr:colOff>1</xdr:colOff>
      <xdr:row>2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68DC98D-CC09-38C1-D99B-949644220874}"/>
            </a:ext>
          </a:extLst>
        </xdr:cNvPr>
        <xdr:cNvSpPr txBox="1"/>
      </xdr:nvSpPr>
      <xdr:spPr>
        <a:xfrm>
          <a:off x="12839700" y="314325"/>
          <a:ext cx="11144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a-DK" sz="1100"/>
            <a:t>v. 2026.01</a:t>
          </a:r>
        </a:p>
        <a:p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66676</xdr:rowOff>
    </xdr:from>
    <xdr:to>
      <xdr:col>15</xdr:col>
      <xdr:colOff>1</xdr:colOff>
      <xdr:row>17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60EFC055-B625-4AF2-05BA-04A144DCCD7C}"/>
            </a:ext>
          </a:extLst>
        </xdr:cNvPr>
        <xdr:cNvSpPr txBox="1"/>
      </xdr:nvSpPr>
      <xdr:spPr>
        <a:xfrm>
          <a:off x="10448925" y="3143251"/>
          <a:ext cx="2990851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900">
              <a:solidFill>
                <a:schemeClr val="bg1">
                  <a:lumMod val="95000"/>
                </a:schemeClr>
              </a:solidFill>
            </a:rPr>
            <a:t>Beløb hentes automatisk fra fanen "Budget - uden udstyr"</a:t>
          </a:r>
        </a:p>
        <a:p>
          <a:pPr algn="r"/>
          <a:r>
            <a:rPr lang="da-DK" sz="900">
              <a:solidFill>
                <a:schemeClr val="bg1">
                  <a:lumMod val="95000"/>
                </a:schemeClr>
              </a:solidFill>
            </a:rPr>
            <a:t>  Kan overskrives ved</a:t>
          </a:r>
          <a:r>
            <a:rPr lang="da-DK" sz="900" baseline="0">
              <a:solidFill>
                <a:schemeClr val="bg1">
                  <a:lumMod val="95000"/>
                </a:schemeClr>
              </a:solidFill>
            </a:rPr>
            <a:t> behov.</a:t>
          </a:r>
          <a:endParaRPr lang="da-DK" sz="900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dunet.dk/da/servicesider/oekonomi/budget/loenoversigtoeko/loensatser" TargetMode="External"/><Relationship Id="rId1" Type="http://schemas.openxmlformats.org/officeDocument/2006/relationships/hyperlink" Target="https://sdunet.dk/da/servicesider/oekonomi/budget/loenoversigtoeko/inernt-cirk-vedr,-d-,-indtaegtsgivende-virksomh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613A-2C6B-43D1-9B0A-32BAF9F4EDEB}">
  <sheetPr codeName="Ark1">
    <tabColor theme="8" tint="0.59999389629810485"/>
  </sheetPr>
  <dimension ref="A1:N77"/>
  <sheetViews>
    <sheetView tabSelected="1" zoomScaleNormal="100" workbookViewId="0">
      <selection activeCell="G3" sqref="G3:L3"/>
    </sheetView>
  </sheetViews>
  <sheetFormatPr defaultColWidth="9.140625" defaultRowHeight="15" x14ac:dyDescent="0.25"/>
  <cols>
    <col min="1" max="1" width="0.85546875" style="1" customWidth="1"/>
    <col min="2" max="2" width="7" style="1" customWidth="1"/>
    <col min="3" max="3" width="14.7109375" style="2" customWidth="1"/>
    <col min="4" max="4" width="10.85546875" style="2" customWidth="1"/>
    <col min="5" max="5" width="12.5703125" style="2" customWidth="1"/>
    <col min="6" max="6" width="19" style="1" customWidth="1"/>
    <col min="7" max="7" width="36.28515625" style="1" customWidth="1"/>
    <col min="8" max="8" width="32.85546875" style="1" customWidth="1"/>
    <col min="9" max="9" width="23.85546875" style="1" customWidth="1"/>
    <col min="10" max="10" width="20.42578125" style="1" customWidth="1"/>
    <col min="11" max="11" width="18.5703125" style="1" customWidth="1"/>
    <col min="12" max="12" width="17.85546875" style="1" customWidth="1"/>
    <col min="13" max="16384" width="9.140625" style="1"/>
  </cols>
  <sheetData>
    <row r="1" spans="2:12" ht="6" customHeight="1" thickBot="1" x14ac:dyDescent="0.3"/>
    <row r="2" spans="2:12" ht="36.75" thickBot="1" x14ac:dyDescent="0.6">
      <c r="B2" s="314" t="s">
        <v>227</v>
      </c>
      <c r="C2" s="315"/>
      <c r="D2" s="315"/>
      <c r="E2" s="315"/>
      <c r="F2" s="315"/>
      <c r="G2" s="315"/>
      <c r="H2" s="315"/>
      <c r="I2" s="315"/>
      <c r="J2" s="315"/>
      <c r="K2" s="315"/>
      <c r="L2" s="316"/>
    </row>
    <row r="3" spans="2:12" ht="19.5" customHeight="1" x14ac:dyDescent="0.25">
      <c r="B3" s="338" t="s">
        <v>38</v>
      </c>
      <c r="C3" s="341" t="s">
        <v>220</v>
      </c>
      <c r="D3" s="342"/>
      <c r="E3" s="342"/>
      <c r="F3" s="343"/>
      <c r="G3" s="278" t="s">
        <v>221</v>
      </c>
      <c r="H3" s="279"/>
      <c r="I3" s="279"/>
      <c r="J3" s="279"/>
      <c r="K3" s="279"/>
      <c r="L3" s="280"/>
    </row>
    <row r="4" spans="2:12" ht="36.75" customHeight="1" x14ac:dyDescent="0.25">
      <c r="B4" s="339"/>
      <c r="C4" s="289" t="s">
        <v>222</v>
      </c>
      <c r="D4" s="349"/>
      <c r="E4" s="349"/>
      <c r="F4" s="350"/>
      <c r="G4" s="281" t="s">
        <v>223</v>
      </c>
      <c r="H4" s="282"/>
      <c r="I4" s="282"/>
      <c r="J4" s="282"/>
      <c r="K4" s="282"/>
      <c r="L4" s="283"/>
    </row>
    <row r="5" spans="2:12" ht="16.5" customHeight="1" x14ac:dyDescent="0.25">
      <c r="B5" s="339"/>
      <c r="C5" s="289" t="s">
        <v>4</v>
      </c>
      <c r="D5" s="344"/>
      <c r="E5" s="344"/>
      <c r="F5" s="345"/>
      <c r="G5" s="281" t="s">
        <v>203</v>
      </c>
      <c r="H5" s="282"/>
      <c r="I5" s="282"/>
      <c r="J5" s="282"/>
      <c r="K5" s="282"/>
      <c r="L5" s="283"/>
    </row>
    <row r="6" spans="2:12" ht="16.5" customHeight="1" x14ac:dyDescent="0.25">
      <c r="B6" s="339"/>
      <c r="C6" s="289" t="s">
        <v>135</v>
      </c>
      <c r="D6" s="349"/>
      <c r="E6" s="349"/>
      <c r="F6" s="350"/>
      <c r="G6" s="281" t="s">
        <v>198</v>
      </c>
      <c r="H6" s="282"/>
      <c r="I6" s="282"/>
      <c r="J6" s="282"/>
      <c r="K6" s="282"/>
      <c r="L6" s="283"/>
    </row>
    <row r="7" spans="2:12" ht="16.5" customHeight="1" x14ac:dyDescent="0.25">
      <c r="B7" s="339"/>
      <c r="C7" s="289" t="s">
        <v>131</v>
      </c>
      <c r="D7" s="344"/>
      <c r="E7" s="344"/>
      <c r="F7" s="345"/>
      <c r="G7" s="284" t="s">
        <v>199</v>
      </c>
      <c r="H7" s="282"/>
      <c r="I7" s="282"/>
      <c r="J7" s="282"/>
      <c r="K7" s="282"/>
      <c r="L7" s="283"/>
    </row>
    <row r="8" spans="2:12" ht="16.5" customHeight="1" x14ac:dyDescent="0.25">
      <c r="B8" s="339"/>
      <c r="C8" s="289" t="s">
        <v>224</v>
      </c>
      <c r="D8" s="349"/>
      <c r="E8" s="349"/>
      <c r="F8" s="350"/>
      <c r="G8" s="284" t="s">
        <v>199</v>
      </c>
      <c r="H8" s="285"/>
      <c r="I8" s="285"/>
      <c r="J8" s="285"/>
      <c r="K8" s="285"/>
      <c r="L8" s="286"/>
    </row>
    <row r="9" spans="2:12" ht="16.5" customHeight="1" x14ac:dyDescent="0.25">
      <c r="B9" s="339"/>
      <c r="C9" s="289" t="s">
        <v>183</v>
      </c>
      <c r="D9" s="344"/>
      <c r="E9" s="344"/>
      <c r="F9" s="345"/>
      <c r="G9" s="281" t="s">
        <v>200</v>
      </c>
      <c r="H9" s="282"/>
      <c r="I9" s="282"/>
      <c r="J9" s="282"/>
      <c r="K9" s="282"/>
      <c r="L9" s="283"/>
    </row>
    <row r="10" spans="2:12" ht="16.5" customHeight="1" x14ac:dyDescent="0.25">
      <c r="B10" s="339"/>
      <c r="C10" s="289" t="s">
        <v>5</v>
      </c>
      <c r="D10" s="349"/>
      <c r="E10" s="349"/>
      <c r="F10" s="350"/>
      <c r="G10" s="281" t="s">
        <v>201</v>
      </c>
      <c r="H10" s="282"/>
      <c r="I10" s="282"/>
      <c r="J10" s="282"/>
      <c r="K10" s="282"/>
      <c r="L10" s="283"/>
    </row>
    <row r="11" spans="2:12" ht="16.5" customHeight="1" x14ac:dyDescent="0.25">
      <c r="B11" s="339"/>
      <c r="C11" s="289" t="s">
        <v>23</v>
      </c>
      <c r="D11" s="290"/>
      <c r="E11" s="290"/>
      <c r="F11" s="291"/>
      <c r="G11" s="281" t="s">
        <v>225</v>
      </c>
      <c r="H11" s="282"/>
      <c r="I11" s="282"/>
      <c r="J11" s="282"/>
      <c r="K11" s="282"/>
      <c r="L11" s="283"/>
    </row>
    <row r="12" spans="2:12" ht="16.5" customHeight="1" thickBot="1" x14ac:dyDescent="0.3">
      <c r="B12" s="340"/>
      <c r="C12" s="346" t="s">
        <v>189</v>
      </c>
      <c r="D12" s="347"/>
      <c r="E12" s="347"/>
      <c r="F12" s="348"/>
      <c r="G12" s="204">
        <v>1</v>
      </c>
      <c r="H12" s="287"/>
      <c r="I12" s="287"/>
      <c r="J12" s="287"/>
      <c r="K12" s="287"/>
      <c r="L12" s="288"/>
    </row>
    <row r="13" spans="2:12" ht="8.25" customHeight="1" thickBot="1" x14ac:dyDescent="0.3"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7"/>
    </row>
    <row r="14" spans="2:12" ht="36.75" thickBot="1" x14ac:dyDescent="0.6">
      <c r="B14" s="314" t="s">
        <v>7</v>
      </c>
      <c r="C14" s="398"/>
      <c r="D14" s="398"/>
      <c r="E14" s="398"/>
      <c r="F14" s="398"/>
      <c r="G14" s="398"/>
      <c r="H14" s="398"/>
      <c r="I14" s="398"/>
      <c r="J14" s="398"/>
      <c r="K14" s="398"/>
      <c r="L14" s="399"/>
    </row>
    <row r="15" spans="2:12" ht="15.75" thickBot="1" x14ac:dyDescent="0.3">
      <c r="B15" s="400" t="s">
        <v>208</v>
      </c>
      <c r="C15" s="241" t="s">
        <v>8</v>
      </c>
      <c r="D15" s="242" t="s">
        <v>9</v>
      </c>
      <c r="E15" s="381" t="s">
        <v>212</v>
      </c>
      <c r="F15" s="382"/>
      <c r="G15" s="205" t="s">
        <v>3</v>
      </c>
      <c r="H15" s="205" t="s">
        <v>10</v>
      </c>
      <c r="I15" s="205" t="s">
        <v>39</v>
      </c>
      <c r="J15" s="205" t="s">
        <v>12</v>
      </c>
      <c r="K15" s="205" t="s">
        <v>11</v>
      </c>
      <c r="L15" s="243" t="s">
        <v>44</v>
      </c>
    </row>
    <row r="16" spans="2:12" ht="13.9" customHeight="1" x14ac:dyDescent="0.25">
      <c r="B16" s="401"/>
      <c r="C16" s="13" t="str">
        <f>IF(E16="Vælg stillingskategori…","","1100")</f>
        <v/>
      </c>
      <c r="D16" s="63" t="str">
        <f>IF(E16="Vælg stillingskategori…","",Kostpriser!$I$40)</f>
        <v/>
      </c>
      <c r="E16" s="411" t="s">
        <v>213</v>
      </c>
      <c r="F16" s="412"/>
      <c r="G16" s="244" t="s">
        <v>197</v>
      </c>
      <c r="H16" s="174"/>
      <c r="I16" s="175"/>
      <c r="J16" s="24" t="str">
        <f>IF(SUM(H16+I16)&gt;0,SUM(H16+I16),"")</f>
        <v/>
      </c>
      <c r="K16" s="57">
        <f>_xlfn.XLOOKUP(E16,Kostpriser!$H$5:$H$16,Kostpriser!$I$5:$I$16)</f>
        <v>0</v>
      </c>
      <c r="L16" s="216" t="str">
        <f t="shared" ref="L16:L25" si="0">IF(J16="","0,00",J16*K16)</f>
        <v>0,00</v>
      </c>
    </row>
    <row r="17" spans="2:12" ht="15.75" x14ac:dyDescent="0.25">
      <c r="B17" s="401"/>
      <c r="C17" s="11" t="str">
        <f t="shared" ref="C17:C25" si="1">IF(E17="Vælg stillingskategori…","","1100")</f>
        <v/>
      </c>
      <c r="D17" s="60" t="str">
        <f>IF(E17="Vælg stillingskategori…","",Kostpriser!$I$40)</f>
        <v/>
      </c>
      <c r="E17" s="371" t="s">
        <v>213</v>
      </c>
      <c r="F17" s="371"/>
      <c r="G17" s="246"/>
      <c r="H17" s="176"/>
      <c r="I17" s="177"/>
      <c r="J17" s="25" t="str">
        <f>IF(SUM(H17+I17)&gt;0,SUM(H17+I17),"")</f>
        <v/>
      </c>
      <c r="K17" s="23">
        <f>_xlfn.XLOOKUP(E17,Kostpriser!$H$5:$H$16,Kostpriser!$I$5:$I$16)</f>
        <v>0</v>
      </c>
      <c r="L17" s="217" t="str">
        <f t="shared" si="0"/>
        <v>0,00</v>
      </c>
    </row>
    <row r="18" spans="2:12" ht="15.75" x14ac:dyDescent="0.25">
      <c r="B18" s="401"/>
      <c r="C18" s="11" t="str">
        <f t="shared" si="1"/>
        <v/>
      </c>
      <c r="D18" s="60" t="str">
        <f>IF(E18="Vælg stillingskategori…","",Kostpriser!$I$40)</f>
        <v/>
      </c>
      <c r="E18" s="371" t="s">
        <v>213</v>
      </c>
      <c r="F18" s="371"/>
      <c r="G18" s="246"/>
      <c r="H18" s="176"/>
      <c r="I18" s="177"/>
      <c r="J18" s="25" t="str">
        <f>IF(SUM(H18+I18)&gt;0,SUM(H18+I18),"")</f>
        <v/>
      </c>
      <c r="K18" s="23">
        <f>_xlfn.XLOOKUP(E18,Kostpriser!$H$5:$H$16,Kostpriser!$I$5:$I$16)</f>
        <v>0</v>
      </c>
      <c r="L18" s="217" t="str">
        <f t="shared" si="0"/>
        <v>0,00</v>
      </c>
    </row>
    <row r="19" spans="2:12" ht="15.75" x14ac:dyDescent="0.25">
      <c r="B19" s="401"/>
      <c r="C19" s="11" t="str">
        <f t="shared" si="1"/>
        <v/>
      </c>
      <c r="D19" s="60" t="str">
        <f>IF(E19="Vælg stillingskategori…","",Kostpriser!$I$40)</f>
        <v/>
      </c>
      <c r="E19" s="371" t="s">
        <v>213</v>
      </c>
      <c r="F19" s="371"/>
      <c r="G19" s="246"/>
      <c r="H19" s="176"/>
      <c r="I19" s="177"/>
      <c r="J19" s="25" t="str">
        <f t="shared" ref="J19:J25" si="2">IF(SUM(H19+I19)&gt;0,SUM(H19+I19),"")</f>
        <v/>
      </c>
      <c r="K19" s="23">
        <f>_xlfn.XLOOKUP(E19,Kostpriser!$H$5:$H$16,Kostpriser!$I$5:$I$16)</f>
        <v>0</v>
      </c>
      <c r="L19" s="217" t="str">
        <f t="shared" si="0"/>
        <v>0,00</v>
      </c>
    </row>
    <row r="20" spans="2:12" ht="15.75" x14ac:dyDescent="0.25">
      <c r="B20" s="401"/>
      <c r="C20" s="11" t="str">
        <f t="shared" si="1"/>
        <v/>
      </c>
      <c r="D20" s="60" t="str">
        <f>IF(E20="Vælg stillingskategori…","",Kostpriser!$I$40)</f>
        <v/>
      </c>
      <c r="E20" s="371" t="s">
        <v>213</v>
      </c>
      <c r="F20" s="371"/>
      <c r="G20" s="246"/>
      <c r="H20" s="176"/>
      <c r="I20" s="177"/>
      <c r="J20" s="25" t="str">
        <f t="shared" si="2"/>
        <v/>
      </c>
      <c r="K20" s="23">
        <f>_xlfn.XLOOKUP(E20,Kostpriser!$H$5:$H$16,Kostpriser!$I$5:$I$16)</f>
        <v>0</v>
      </c>
      <c r="L20" s="217" t="str">
        <f t="shared" si="0"/>
        <v>0,00</v>
      </c>
    </row>
    <row r="21" spans="2:12" ht="15.75" x14ac:dyDescent="0.25">
      <c r="B21" s="401"/>
      <c r="C21" s="11" t="str">
        <f t="shared" si="1"/>
        <v/>
      </c>
      <c r="D21" s="60" t="str">
        <f>IF(E21="Vælg stillingskategori…","",Kostpriser!$I$40)</f>
        <v/>
      </c>
      <c r="E21" s="371" t="s">
        <v>213</v>
      </c>
      <c r="F21" s="371"/>
      <c r="G21" s="246"/>
      <c r="H21" s="176"/>
      <c r="I21" s="177"/>
      <c r="J21" s="25" t="str">
        <f t="shared" si="2"/>
        <v/>
      </c>
      <c r="K21" s="23">
        <f>_xlfn.XLOOKUP(E21,Kostpriser!$H$5:$H$16,Kostpriser!$I$5:$I$16)</f>
        <v>0</v>
      </c>
      <c r="L21" s="217" t="str">
        <f t="shared" si="0"/>
        <v>0,00</v>
      </c>
    </row>
    <row r="22" spans="2:12" ht="15.75" x14ac:dyDescent="0.25">
      <c r="B22" s="401"/>
      <c r="C22" s="11" t="str">
        <f t="shared" si="1"/>
        <v/>
      </c>
      <c r="D22" s="60" t="str">
        <f>IF(E22="Vælg stillingskategori…","",Kostpriser!$I$40)</f>
        <v/>
      </c>
      <c r="E22" s="371" t="s">
        <v>213</v>
      </c>
      <c r="F22" s="371"/>
      <c r="G22" s="246"/>
      <c r="H22" s="176"/>
      <c r="I22" s="177"/>
      <c r="J22" s="25" t="str">
        <f t="shared" si="2"/>
        <v/>
      </c>
      <c r="K22" s="23">
        <f>_xlfn.XLOOKUP(E22,Kostpriser!$H$5:$H$16,Kostpriser!$I$5:$I$16)</f>
        <v>0</v>
      </c>
      <c r="L22" s="217" t="str">
        <f t="shared" si="0"/>
        <v>0,00</v>
      </c>
    </row>
    <row r="23" spans="2:12" ht="15.75" x14ac:dyDescent="0.25">
      <c r="B23" s="401"/>
      <c r="C23" s="11" t="str">
        <f t="shared" si="1"/>
        <v/>
      </c>
      <c r="D23" s="60" t="str">
        <f>IF(E23="Vælg stillingskategori…","",Kostpriser!$I$40)</f>
        <v/>
      </c>
      <c r="E23" s="371" t="s">
        <v>213</v>
      </c>
      <c r="F23" s="371"/>
      <c r="G23" s="246"/>
      <c r="H23" s="176"/>
      <c r="I23" s="177"/>
      <c r="J23" s="25" t="str">
        <f t="shared" si="2"/>
        <v/>
      </c>
      <c r="K23" s="23">
        <f>_xlfn.XLOOKUP(E23,Kostpriser!$H$5:$H$16,Kostpriser!$I$5:$I$16)</f>
        <v>0</v>
      </c>
      <c r="L23" s="217" t="str">
        <f t="shared" si="0"/>
        <v>0,00</v>
      </c>
    </row>
    <row r="24" spans="2:12" ht="15.75" x14ac:dyDescent="0.25">
      <c r="B24" s="401"/>
      <c r="C24" s="11" t="str">
        <f t="shared" si="1"/>
        <v/>
      </c>
      <c r="D24" s="60" t="str">
        <f>IF(E24="Vælg stillingskategori…","",Kostpriser!$I$40)</f>
        <v/>
      </c>
      <c r="E24" s="371" t="s">
        <v>213</v>
      </c>
      <c r="F24" s="371"/>
      <c r="G24" s="246"/>
      <c r="H24" s="176"/>
      <c r="I24" s="177"/>
      <c r="J24" s="25" t="str">
        <f t="shared" si="2"/>
        <v/>
      </c>
      <c r="K24" s="23">
        <f>_xlfn.XLOOKUP(E24,Kostpriser!$H$5:$H$16,Kostpriser!$I$5:$I$16)</f>
        <v>0</v>
      </c>
      <c r="L24" s="217" t="str">
        <f t="shared" si="0"/>
        <v>0,00</v>
      </c>
    </row>
    <row r="25" spans="2:12" ht="15.75" x14ac:dyDescent="0.25">
      <c r="B25" s="401"/>
      <c r="C25" s="11" t="str">
        <f t="shared" si="1"/>
        <v/>
      </c>
      <c r="D25" s="62" t="str">
        <f>IF(E25="Vælg stillingskategori…","",Kostpriser!$I$40)</f>
        <v/>
      </c>
      <c r="E25" s="409" t="s">
        <v>213</v>
      </c>
      <c r="F25" s="410"/>
      <c r="G25" s="246"/>
      <c r="H25" s="176"/>
      <c r="I25" s="178"/>
      <c r="J25" s="25" t="str">
        <f t="shared" si="2"/>
        <v/>
      </c>
      <c r="K25" s="58">
        <f>_xlfn.XLOOKUP(E25,Kostpriser!$H$5:$H$16,Kostpriser!$I$5:$I$16)</f>
        <v>0</v>
      </c>
      <c r="L25" s="217" t="str">
        <f t="shared" si="0"/>
        <v>0,00</v>
      </c>
    </row>
    <row r="26" spans="2:12" ht="4.5" customHeight="1" x14ac:dyDescent="0.25">
      <c r="B26" s="401"/>
      <c r="C26" s="372"/>
      <c r="D26" s="373"/>
      <c r="E26" s="373"/>
      <c r="F26" s="373"/>
      <c r="G26" s="373"/>
      <c r="H26" s="373"/>
      <c r="I26" s="373"/>
      <c r="J26" s="373"/>
      <c r="K26" s="373"/>
      <c r="L26" s="374"/>
    </row>
    <row r="27" spans="2:12" ht="15.75" x14ac:dyDescent="0.25">
      <c r="B27" s="401"/>
      <c r="C27" s="11">
        <v>1700</v>
      </c>
      <c r="D27" s="60">
        <f>Kostpriser!I41</f>
        <v>0.1</v>
      </c>
      <c r="E27" s="368" t="s">
        <v>13</v>
      </c>
      <c r="F27" s="344"/>
      <c r="G27" s="344"/>
      <c r="H27" s="344"/>
      <c r="I27" s="344"/>
      <c r="J27" s="369"/>
      <c r="K27" s="370"/>
      <c r="L27" s="218">
        <v>0</v>
      </c>
    </row>
    <row r="28" spans="2:12" ht="4.5" customHeight="1" x14ac:dyDescent="0.25">
      <c r="B28" s="401"/>
      <c r="C28" s="375"/>
      <c r="D28" s="376"/>
      <c r="E28" s="376"/>
      <c r="F28" s="376"/>
      <c r="G28" s="376"/>
      <c r="H28" s="376"/>
      <c r="I28" s="376"/>
      <c r="J28" s="376"/>
      <c r="K28" s="376"/>
      <c r="L28" s="377"/>
    </row>
    <row r="29" spans="2:12" ht="16.5" thickBot="1" x14ac:dyDescent="0.3">
      <c r="B29" s="402"/>
      <c r="C29" s="12">
        <v>1700</v>
      </c>
      <c r="D29" s="61">
        <f>Kostpriser!I41</f>
        <v>0.1</v>
      </c>
      <c r="E29" s="406" t="s">
        <v>142</v>
      </c>
      <c r="F29" s="347"/>
      <c r="G29" s="347"/>
      <c r="H29" s="347"/>
      <c r="I29" s="347"/>
      <c r="J29" s="407"/>
      <c r="K29" s="408"/>
      <c r="L29" s="219">
        <v>0</v>
      </c>
    </row>
    <row r="30" spans="2:12" ht="6" customHeight="1" thickBot="1" x14ac:dyDescent="0.3">
      <c r="B30" s="3"/>
      <c r="C30" s="4"/>
      <c r="D30" s="4"/>
      <c r="E30" s="4"/>
    </row>
    <row r="31" spans="2:12" ht="15.75" thickBot="1" x14ac:dyDescent="0.3">
      <c r="B31" s="403" t="s">
        <v>209</v>
      </c>
      <c r="C31" s="241" t="s">
        <v>8</v>
      </c>
      <c r="D31" s="242" t="s">
        <v>9</v>
      </c>
      <c r="E31" s="381" t="s">
        <v>212</v>
      </c>
      <c r="F31" s="382"/>
      <c r="G31" s="205" t="s">
        <v>3</v>
      </c>
      <c r="H31" s="205" t="s">
        <v>211</v>
      </c>
      <c r="I31" s="205" t="str">
        <f>+I15</f>
        <v>Direkte arbejdstimer</v>
      </c>
      <c r="J31" s="250"/>
      <c r="K31" s="205" t="str">
        <f>+K15</f>
        <v>Timeløn</v>
      </c>
      <c r="L31" s="243" t="s">
        <v>44</v>
      </c>
    </row>
    <row r="32" spans="2:12" ht="15.75" x14ac:dyDescent="0.25">
      <c r="B32" s="404"/>
      <c r="C32" s="11" t="str">
        <f>IF(E32="Vælg stillingskategori…","","1200")</f>
        <v/>
      </c>
      <c r="D32" s="59" t="str">
        <f>IF(E32="Vælg stillingskategori…","",Kostpriser!$I$40)</f>
        <v/>
      </c>
      <c r="E32" s="385" t="s">
        <v>213</v>
      </c>
      <c r="F32" s="386"/>
      <c r="G32" s="244"/>
      <c r="H32" s="247" t="s">
        <v>144</v>
      </c>
      <c r="I32" s="175"/>
      <c r="J32" s="378"/>
      <c r="K32" s="57">
        <f>_xlfn.XLOOKUP(E32,Kostpriser!$H$21:$H$29,Kostpriser!$I$21:$I$29)</f>
        <v>0</v>
      </c>
      <c r="L32" s="216" t="str">
        <f>IF(I32&gt;0,I32*K32,"0,00")</f>
        <v>0,00</v>
      </c>
    </row>
    <row r="33" spans="2:12" ht="15.75" x14ac:dyDescent="0.25">
      <c r="B33" s="404"/>
      <c r="C33" s="11" t="str">
        <f t="shared" ref="C33:C34" si="3">IF(E33="Vælg stillingskategori…","","1200")</f>
        <v/>
      </c>
      <c r="D33" s="60" t="str">
        <f>IF(E33="Vælg stillingskategori…","",Kostpriser!$I$40)</f>
        <v/>
      </c>
      <c r="E33" s="383" t="s">
        <v>213</v>
      </c>
      <c r="F33" s="384"/>
      <c r="G33" s="246"/>
      <c r="H33" s="245" t="s">
        <v>144</v>
      </c>
      <c r="I33" s="177"/>
      <c r="J33" s="379"/>
      <c r="K33" s="260">
        <f>_xlfn.XLOOKUP(E33,Kostpriser!$H$21:$H$29,Kostpriser!$I$21:$I$29)</f>
        <v>0</v>
      </c>
      <c r="L33" s="217" t="str">
        <f>IF(I33&gt;0,I33*K33,"0,00")</f>
        <v>0,00</v>
      </c>
    </row>
    <row r="34" spans="2:12" ht="16.5" thickBot="1" x14ac:dyDescent="0.3">
      <c r="B34" s="405"/>
      <c r="C34" s="11" t="str">
        <f t="shared" si="3"/>
        <v/>
      </c>
      <c r="D34" s="61" t="str">
        <f>IF(E34="Vælg stillingskategori…","",Kostpriser!$I$40)</f>
        <v/>
      </c>
      <c r="E34" s="387" t="s">
        <v>213</v>
      </c>
      <c r="F34" s="388"/>
      <c r="G34" s="248"/>
      <c r="H34" s="249" t="s">
        <v>144</v>
      </c>
      <c r="I34" s="179"/>
      <c r="J34" s="380"/>
      <c r="K34" s="72">
        <f>_xlfn.XLOOKUP(E34,Kostpriser!$H$21:$H$29,Kostpriser!$I$21:$I$29)</f>
        <v>0</v>
      </c>
      <c r="L34" s="220" t="str">
        <f>IF(I34&gt;0,I34*K34,"0,00")</f>
        <v>0,00</v>
      </c>
    </row>
    <row r="35" spans="2:12" ht="6" customHeight="1" thickBot="1" x14ac:dyDescent="0.3">
      <c r="B35" s="3"/>
      <c r="C35" s="4"/>
      <c r="D35" s="4"/>
      <c r="E35" s="4"/>
      <c r="K35" s="5"/>
      <c r="L35" s="6"/>
    </row>
    <row r="36" spans="2:12" ht="15.75" customHeight="1" thickBot="1" x14ac:dyDescent="0.3">
      <c r="B36" s="332" t="s">
        <v>15</v>
      </c>
      <c r="C36" s="252" t="s">
        <v>8</v>
      </c>
      <c r="D36" s="253" t="s">
        <v>9</v>
      </c>
      <c r="E36" s="389" t="s">
        <v>32</v>
      </c>
      <c r="F36" s="390"/>
      <c r="G36" s="390"/>
      <c r="H36" s="390"/>
      <c r="I36" s="251" t="s">
        <v>23</v>
      </c>
      <c r="J36" s="251" t="s">
        <v>22</v>
      </c>
      <c r="K36" s="251" t="s">
        <v>18</v>
      </c>
      <c r="L36" s="243" t="s">
        <v>44</v>
      </c>
    </row>
    <row r="37" spans="2:12" ht="15.75" customHeight="1" x14ac:dyDescent="0.25">
      <c r="B37" s="333"/>
      <c r="C37" s="13">
        <v>1400</v>
      </c>
      <c r="D37" s="60">
        <f>Kostpriser!$I$40</f>
        <v>1.2</v>
      </c>
      <c r="E37" s="394" t="s">
        <v>33</v>
      </c>
      <c r="F37" s="395"/>
      <c r="G37" s="395"/>
      <c r="H37" s="395"/>
      <c r="I37" s="180"/>
      <c r="J37" s="180"/>
      <c r="K37" s="181"/>
      <c r="L37" s="216">
        <f>K37*J37*I37</f>
        <v>0</v>
      </c>
    </row>
    <row r="38" spans="2:12" ht="15.75" x14ac:dyDescent="0.25">
      <c r="B38" s="333"/>
      <c r="C38" s="11">
        <v>1400</v>
      </c>
      <c r="D38" s="60">
        <f>Kostpriser!$I$40</f>
        <v>1.2</v>
      </c>
      <c r="E38" s="351" t="s">
        <v>34</v>
      </c>
      <c r="F38" s="352"/>
      <c r="G38" s="352"/>
      <c r="H38" s="352"/>
      <c r="I38" s="353"/>
      <c r="J38" s="353"/>
      <c r="K38" s="353"/>
      <c r="L38" s="221">
        <v>0</v>
      </c>
    </row>
    <row r="39" spans="2:12" ht="15" customHeight="1" x14ac:dyDescent="0.25">
      <c r="B39" s="333"/>
      <c r="C39" s="11">
        <v>1400</v>
      </c>
      <c r="D39" s="60">
        <f>Kostpriser!$I$40</f>
        <v>1.2</v>
      </c>
      <c r="E39" s="351" t="s">
        <v>35</v>
      </c>
      <c r="F39" s="352"/>
      <c r="G39" s="352"/>
      <c r="H39" s="352"/>
      <c r="I39" s="353"/>
      <c r="J39" s="353"/>
      <c r="K39" s="353"/>
      <c r="L39" s="221">
        <v>0</v>
      </c>
    </row>
    <row r="40" spans="2:12" ht="4.5" customHeight="1" x14ac:dyDescent="0.25">
      <c r="B40" s="333"/>
      <c r="C40" s="354"/>
      <c r="D40" s="355"/>
      <c r="E40" s="355"/>
      <c r="F40" s="355"/>
      <c r="G40" s="355"/>
      <c r="H40" s="355"/>
      <c r="I40" s="355"/>
      <c r="J40" s="355"/>
      <c r="K40" s="355"/>
      <c r="L40" s="356"/>
    </row>
    <row r="41" spans="2:12" ht="15" customHeight="1" x14ac:dyDescent="0.25">
      <c r="B41" s="333"/>
      <c r="C41" s="11">
        <v>1800</v>
      </c>
      <c r="D41" s="60">
        <v>0</v>
      </c>
      <c r="E41" s="351" t="s">
        <v>16</v>
      </c>
      <c r="F41" s="352"/>
      <c r="G41" s="352"/>
      <c r="H41" s="352"/>
      <c r="I41" s="353"/>
      <c r="J41" s="353"/>
      <c r="K41" s="353"/>
      <c r="L41" s="221">
        <v>0</v>
      </c>
    </row>
    <row r="42" spans="2:12" ht="4.5" customHeight="1" thickBot="1" x14ac:dyDescent="0.3">
      <c r="B42" s="333"/>
      <c r="C42" s="361"/>
      <c r="D42" s="362"/>
      <c r="E42" s="362"/>
      <c r="F42" s="362"/>
      <c r="G42" s="362"/>
      <c r="H42" s="362"/>
      <c r="I42" s="362"/>
      <c r="J42" s="362"/>
      <c r="K42" s="362"/>
      <c r="L42" s="363"/>
    </row>
    <row r="43" spans="2:12" ht="15" customHeight="1" thickBot="1" x14ac:dyDescent="0.3">
      <c r="B43" s="333"/>
      <c r="C43" s="241" t="s">
        <v>8</v>
      </c>
      <c r="D43" s="254" t="s">
        <v>9</v>
      </c>
      <c r="E43" s="364" t="s">
        <v>37</v>
      </c>
      <c r="F43" s="365"/>
      <c r="G43" s="365"/>
      <c r="H43" s="365"/>
      <c r="I43" s="8" t="s">
        <v>23</v>
      </c>
      <c r="J43" s="8" t="s">
        <v>22</v>
      </c>
      <c r="K43" s="8" t="s">
        <v>18</v>
      </c>
      <c r="L43" s="243" t="s">
        <v>44</v>
      </c>
    </row>
    <row r="44" spans="2:12" ht="15" customHeight="1" x14ac:dyDescent="0.25">
      <c r="B44" s="333"/>
      <c r="C44" s="16">
        <v>1700</v>
      </c>
      <c r="D44" s="62">
        <f>Kostpriser!$I$41</f>
        <v>0.1</v>
      </c>
      <c r="E44" s="391" t="s">
        <v>24</v>
      </c>
      <c r="F44" s="392"/>
      <c r="G44" s="392"/>
      <c r="H44" s="393"/>
      <c r="I44" s="182"/>
      <c r="J44" s="182"/>
      <c r="K44" s="183"/>
      <c r="L44" s="222">
        <f>I44*J44*K44</f>
        <v>0</v>
      </c>
    </row>
    <row r="45" spans="2:12" ht="15" customHeight="1" x14ac:dyDescent="0.25">
      <c r="B45" s="333"/>
      <c r="C45" s="11">
        <v>1700</v>
      </c>
      <c r="D45" s="62">
        <f>Kostpriser!$I$41</f>
        <v>0.1</v>
      </c>
      <c r="E45" s="368" t="s">
        <v>40</v>
      </c>
      <c r="F45" s="344"/>
      <c r="G45" s="344"/>
      <c r="H45" s="345"/>
      <c r="I45" s="184"/>
      <c r="J45" s="184"/>
      <c r="K45" s="185"/>
      <c r="L45" s="217">
        <f>I45*J45*K45</f>
        <v>0</v>
      </c>
    </row>
    <row r="46" spans="2:12" ht="15" customHeight="1" x14ac:dyDescent="0.25">
      <c r="B46" s="333"/>
      <c r="C46" s="11">
        <v>1700</v>
      </c>
      <c r="D46" s="62">
        <f>Kostpriser!$I$41</f>
        <v>0.1</v>
      </c>
      <c r="E46" s="368" t="s">
        <v>36</v>
      </c>
      <c r="F46" s="344"/>
      <c r="G46" s="344"/>
      <c r="H46" s="345"/>
      <c r="I46" s="184"/>
      <c r="J46" s="184"/>
      <c r="K46" s="185"/>
      <c r="L46" s="217">
        <f>I46*J46*K46</f>
        <v>0</v>
      </c>
    </row>
    <row r="47" spans="2:12" ht="15" customHeight="1" x14ac:dyDescent="0.25">
      <c r="B47" s="333"/>
      <c r="C47" s="11">
        <v>1700</v>
      </c>
      <c r="D47" s="62">
        <f>Kostpriser!$I$41</f>
        <v>0.1</v>
      </c>
      <c r="E47" s="351" t="s">
        <v>41</v>
      </c>
      <c r="F47" s="352"/>
      <c r="G47" s="352"/>
      <c r="H47" s="352"/>
      <c r="I47" s="353"/>
      <c r="J47" s="353"/>
      <c r="K47" s="353"/>
      <c r="L47" s="221">
        <v>0</v>
      </c>
    </row>
    <row r="48" spans="2:12" ht="15" customHeight="1" x14ac:dyDescent="0.25">
      <c r="B48" s="333"/>
      <c r="C48" s="11">
        <v>1700</v>
      </c>
      <c r="D48" s="62">
        <f>Kostpriser!$I$41</f>
        <v>0.1</v>
      </c>
      <c r="E48" s="368" t="s">
        <v>19</v>
      </c>
      <c r="F48" s="344"/>
      <c r="G48" s="344"/>
      <c r="H48" s="344"/>
      <c r="I48" s="369"/>
      <c r="J48" s="369"/>
      <c r="K48" s="370"/>
      <c r="L48" s="221">
        <v>0</v>
      </c>
    </row>
    <row r="49" spans="2:12" ht="15" customHeight="1" x14ac:dyDescent="0.25">
      <c r="B49" s="333"/>
      <c r="C49" s="11">
        <v>1700</v>
      </c>
      <c r="D49" s="62">
        <f>Kostpriser!$I$41</f>
        <v>0.1</v>
      </c>
      <c r="E49" s="351" t="s">
        <v>20</v>
      </c>
      <c r="F49" s="352"/>
      <c r="G49" s="352"/>
      <c r="H49" s="352"/>
      <c r="I49" s="353"/>
      <c r="J49" s="353"/>
      <c r="K49" s="353"/>
      <c r="L49" s="221">
        <v>0</v>
      </c>
    </row>
    <row r="50" spans="2:12" ht="15" customHeight="1" thickBot="1" x14ac:dyDescent="0.3">
      <c r="B50" s="333"/>
      <c r="C50" s="11">
        <v>1700</v>
      </c>
      <c r="D50" s="62">
        <f>Kostpriser!$I$41</f>
        <v>0.1</v>
      </c>
      <c r="E50" s="351" t="s">
        <v>17</v>
      </c>
      <c r="F50" s="352"/>
      <c r="G50" s="352"/>
      <c r="H50" s="352"/>
      <c r="I50" s="353"/>
      <c r="J50" s="360"/>
      <c r="K50" s="360"/>
      <c r="L50" s="221">
        <v>0</v>
      </c>
    </row>
    <row r="51" spans="2:12" ht="15" customHeight="1" thickBot="1" x14ac:dyDescent="0.3">
      <c r="B51" s="333"/>
      <c r="C51" s="354"/>
      <c r="D51" s="366"/>
      <c r="E51" s="366"/>
      <c r="F51" s="366"/>
      <c r="G51" s="366"/>
      <c r="H51" s="366"/>
      <c r="I51" s="367"/>
      <c r="J51" s="255" t="s">
        <v>21</v>
      </c>
      <c r="K51" s="256" t="s">
        <v>25</v>
      </c>
      <c r="L51" s="223"/>
    </row>
    <row r="52" spans="2:12" ht="15" customHeight="1" x14ac:dyDescent="0.25">
      <c r="B52" s="333"/>
      <c r="C52" s="11">
        <v>1700</v>
      </c>
      <c r="D52" s="62">
        <f>Kostpriser!$I$41</f>
        <v>0.1</v>
      </c>
      <c r="E52" s="351" t="str">
        <f>IF(I52=0,"Vingaver",CONCATENATE("Vingaver - køb af ",I52," stk. "," - pris pr. vingave kr. ",K52))</f>
        <v>Vingaver</v>
      </c>
      <c r="F52" s="352"/>
      <c r="G52" s="352"/>
      <c r="H52" s="352"/>
      <c r="I52" s="353"/>
      <c r="J52" s="186"/>
      <c r="K52" s="187"/>
      <c r="L52" s="217">
        <f>J52*K52</f>
        <v>0</v>
      </c>
    </row>
    <row r="53" spans="2:12" ht="15" customHeight="1" thickBot="1" x14ac:dyDescent="0.3">
      <c r="B53" s="334"/>
      <c r="C53" s="12">
        <v>1700</v>
      </c>
      <c r="D53" s="62">
        <f>Kostpriser!$I$41</f>
        <v>0.1</v>
      </c>
      <c r="E53" s="357" t="s">
        <v>15</v>
      </c>
      <c r="F53" s="358"/>
      <c r="G53" s="358"/>
      <c r="H53" s="358"/>
      <c r="I53" s="359"/>
      <c r="J53" s="359"/>
      <c r="K53" s="359"/>
      <c r="L53" s="224"/>
    </row>
    <row r="54" spans="2:12" ht="3.75" customHeight="1" thickBot="1" x14ac:dyDescent="0.3">
      <c r="B54" s="337"/>
      <c r="C54" s="277"/>
      <c r="D54" s="277"/>
      <c r="E54" s="277"/>
      <c r="F54" s="277"/>
      <c r="G54" s="277"/>
      <c r="H54" s="277"/>
      <c r="I54" s="277"/>
      <c r="J54" s="277"/>
      <c r="K54" s="277"/>
      <c r="L54" s="277"/>
    </row>
    <row r="55" spans="2:12" ht="15" customHeight="1" thickBot="1" x14ac:dyDescent="0.3">
      <c r="B55" s="10"/>
      <c r="C55" s="15"/>
      <c r="D55" s="257" t="s">
        <v>9</v>
      </c>
      <c r="E55" s="335" t="s">
        <v>42</v>
      </c>
      <c r="F55" s="336"/>
      <c r="G55" s="336"/>
      <c r="H55" s="336"/>
      <c r="I55" s="336"/>
      <c r="J55" s="336"/>
      <c r="K55" s="336"/>
      <c r="L55" s="225">
        <f>SUM(L16:L25,L27,L29,L32:L34,L37:L39,L41,L44:L53)</f>
        <v>0</v>
      </c>
    </row>
    <row r="56" spans="2:12" ht="3.75" customHeight="1" thickBot="1" x14ac:dyDescent="0.3">
      <c r="B56" s="337"/>
      <c r="C56" s="277"/>
      <c r="D56" s="277"/>
      <c r="E56" s="277"/>
      <c r="F56" s="277"/>
      <c r="G56" s="277"/>
      <c r="H56" s="277"/>
      <c r="I56" s="277"/>
      <c r="J56" s="277"/>
      <c r="K56" s="277"/>
      <c r="L56" s="277"/>
    </row>
    <row r="57" spans="2:12" ht="15" customHeight="1" x14ac:dyDescent="0.25">
      <c r="B57" s="322" t="s">
        <v>9</v>
      </c>
      <c r="C57" s="14"/>
      <c r="D57" s="261">
        <f>Kostpriser!I40</f>
        <v>1.2</v>
      </c>
      <c r="E57" s="292" t="s">
        <v>127</v>
      </c>
      <c r="F57" s="293"/>
      <c r="G57" s="293"/>
      <c r="H57" s="293"/>
      <c r="I57" s="293"/>
      <c r="J57" s="293"/>
      <c r="K57" s="294"/>
      <c r="L57" s="226">
        <f>(L16+L17+L18+L19+L20+L21+L22+L23+L24+L25+L32+L33+L34+L37+L38+L39)*Kostpriser!I40</f>
        <v>0</v>
      </c>
    </row>
    <row r="58" spans="2:12" ht="16.5" thickBot="1" x14ac:dyDescent="0.3">
      <c r="B58" s="323"/>
      <c r="C58" s="7"/>
      <c r="D58" s="262">
        <f>Kostpriser!I41</f>
        <v>0.1</v>
      </c>
      <c r="E58" s="298" t="s">
        <v>128</v>
      </c>
      <c r="F58" s="299"/>
      <c r="G58" s="299"/>
      <c r="H58" s="299"/>
      <c r="I58" s="299"/>
      <c r="J58" s="299"/>
      <c r="K58" s="300"/>
      <c r="L58" s="227">
        <f>(L27+L29+L44+L45+L46+L47+L48+L49+L50+L52+L53)*Kostpriser!I41</f>
        <v>0</v>
      </c>
    </row>
    <row r="59" spans="2:12" ht="16.5" thickBot="1" x14ac:dyDescent="0.3">
      <c r="B59" s="324"/>
      <c r="C59" s="17">
        <v>9990</v>
      </c>
      <c r="D59" s="18"/>
      <c r="E59" s="295" t="s">
        <v>216</v>
      </c>
      <c r="F59" s="296"/>
      <c r="G59" s="296"/>
      <c r="H59" s="296"/>
      <c r="I59" s="296"/>
      <c r="J59" s="296"/>
      <c r="K59" s="297"/>
      <c r="L59" s="240">
        <f>SUM(L57:L58)</f>
        <v>0</v>
      </c>
    </row>
    <row r="60" spans="2:12" ht="11.25" customHeight="1" thickBot="1" x14ac:dyDescent="0.3">
      <c r="B60" s="276"/>
      <c r="C60" s="301"/>
      <c r="D60" s="301"/>
      <c r="E60" s="277"/>
      <c r="F60" s="277"/>
      <c r="G60" s="277"/>
      <c r="H60" s="277"/>
      <c r="I60" s="277"/>
      <c r="J60" s="277"/>
      <c r="K60" s="277"/>
      <c r="L60" s="277"/>
    </row>
    <row r="61" spans="2:12" ht="15" customHeight="1" thickBot="1" x14ac:dyDescent="0.3">
      <c r="B61" s="19"/>
      <c r="C61" s="20"/>
      <c r="D61" s="21"/>
      <c r="E61" s="317" t="s">
        <v>218</v>
      </c>
      <c r="F61" s="318"/>
      <c r="G61" s="318"/>
      <c r="H61" s="318"/>
      <c r="I61" s="318"/>
      <c r="J61" s="318"/>
      <c r="K61" s="318"/>
      <c r="L61" s="228">
        <f>L59+L55</f>
        <v>0</v>
      </c>
    </row>
    <row r="62" spans="2:12" ht="3.75" customHeight="1" thickBot="1" x14ac:dyDescent="0.3"/>
    <row r="63" spans="2:12" ht="15" customHeight="1" thickBot="1" x14ac:dyDescent="0.3">
      <c r="B63" s="19"/>
      <c r="C63" s="22">
        <v>1990</v>
      </c>
      <c r="D63" s="21"/>
      <c r="E63" s="396" t="s">
        <v>217</v>
      </c>
      <c r="F63" s="397"/>
      <c r="G63" s="397"/>
      <c r="H63" s="397"/>
      <c r="I63" s="397"/>
      <c r="J63" s="397"/>
      <c r="K63" s="397"/>
      <c r="L63" s="229">
        <v>0</v>
      </c>
    </row>
    <row r="64" spans="2:12" ht="3.75" customHeight="1" thickBot="1" x14ac:dyDescent="0.3"/>
    <row r="65" spans="1:14" ht="15" customHeight="1" thickBot="1" x14ac:dyDescent="0.3">
      <c r="B65" s="19"/>
      <c r="C65" s="20"/>
      <c r="D65" s="21"/>
      <c r="E65" s="317" t="s">
        <v>219</v>
      </c>
      <c r="F65" s="318"/>
      <c r="G65" s="318"/>
      <c r="H65" s="318"/>
      <c r="I65" s="318"/>
      <c r="J65" s="318"/>
      <c r="K65" s="318"/>
      <c r="L65" s="228">
        <f>L63+L61</f>
        <v>0</v>
      </c>
    </row>
    <row r="66" spans="1:14" ht="11.25" customHeight="1" thickBot="1" x14ac:dyDescent="0.3">
      <c r="B66" s="276"/>
      <c r="C66" s="308"/>
      <c r="D66" s="308"/>
      <c r="E66" s="277"/>
      <c r="F66" s="277"/>
      <c r="G66" s="277"/>
      <c r="H66" s="277"/>
      <c r="I66" s="277"/>
      <c r="J66" s="277"/>
      <c r="K66" s="277"/>
      <c r="L66" s="277"/>
    </row>
    <row r="67" spans="1:14" ht="36.75" thickBot="1" x14ac:dyDescent="0.6">
      <c r="B67" s="314" t="s">
        <v>43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6"/>
    </row>
    <row r="68" spans="1:14" ht="15.75" x14ac:dyDescent="0.25">
      <c r="B68" s="319" t="s">
        <v>6</v>
      </c>
      <c r="C68" s="320"/>
      <c r="D68" s="320"/>
      <c r="E68" s="321"/>
      <c r="F68" s="230">
        <f>G12</f>
        <v>1</v>
      </c>
      <c r="G68" s="302"/>
      <c r="H68" s="303"/>
      <c r="I68" s="328" t="s">
        <v>29</v>
      </c>
      <c r="J68" s="329"/>
      <c r="K68" s="329"/>
      <c r="L68" s="233">
        <f>L61</f>
        <v>0</v>
      </c>
    </row>
    <row r="69" spans="1:14" ht="16.5" thickBot="1" x14ac:dyDescent="0.3">
      <c r="B69" s="325" t="s">
        <v>27</v>
      </c>
      <c r="C69" s="326"/>
      <c r="D69" s="326"/>
      <c r="E69" s="327"/>
      <c r="F69" s="231">
        <f>L65</f>
        <v>0</v>
      </c>
      <c r="G69" s="304"/>
      <c r="H69" s="305"/>
      <c r="I69" s="330" t="s">
        <v>30</v>
      </c>
      <c r="J69" s="331"/>
      <c r="K69" s="331"/>
      <c r="L69" s="234">
        <f>L68*G12</f>
        <v>0</v>
      </c>
    </row>
    <row r="70" spans="1:14" ht="16.5" thickBot="1" x14ac:dyDescent="0.3">
      <c r="B70" s="311" t="s">
        <v>28</v>
      </c>
      <c r="C70" s="312"/>
      <c r="D70" s="312"/>
      <c r="E70" s="313"/>
      <c r="F70" s="232">
        <f>F69*F68</f>
        <v>0</v>
      </c>
      <c r="G70" s="306"/>
      <c r="H70" s="307"/>
      <c r="I70" s="309" t="s">
        <v>31</v>
      </c>
      <c r="J70" s="310"/>
      <c r="K70" s="310"/>
      <c r="L70" s="235">
        <f>F70-L69</f>
        <v>0</v>
      </c>
    </row>
    <row r="71" spans="1:14" ht="6" customHeight="1" thickBot="1" x14ac:dyDescent="0.3"/>
    <row r="72" spans="1:14" ht="15.75" x14ac:dyDescent="0.25">
      <c r="B72" s="328" t="s">
        <v>192</v>
      </c>
      <c r="C72" s="419"/>
      <c r="D72" s="419"/>
      <c r="E72" s="419"/>
      <c r="F72" s="236"/>
      <c r="G72" s="420"/>
      <c r="H72" s="303"/>
      <c r="I72" s="328" t="s">
        <v>226</v>
      </c>
      <c r="J72" s="329"/>
      <c r="K72" s="329"/>
      <c r="L72" s="239">
        <f>IF(G11="[Indtast antal deltagere]",0,G11)</f>
        <v>0</v>
      </c>
    </row>
    <row r="73" spans="1:14" ht="15.75" x14ac:dyDescent="0.25">
      <c r="B73" s="330" t="s">
        <v>195</v>
      </c>
      <c r="C73" s="423"/>
      <c r="D73" s="423"/>
      <c r="E73" s="423"/>
      <c r="F73" s="237" t="str">
        <f>IF(L72=0,"-     ",ROUNDUP(L69/F72,0))</f>
        <v xml:space="preserve">-     </v>
      </c>
      <c r="G73" s="421"/>
      <c r="H73" s="305"/>
      <c r="I73" s="330" t="s">
        <v>193</v>
      </c>
      <c r="J73" s="331"/>
      <c r="K73" s="331"/>
      <c r="L73" s="270">
        <f>IF(L69=0,0,L69/L72)</f>
        <v>0</v>
      </c>
    </row>
    <row r="74" spans="1:14" ht="16.5" thickBot="1" x14ac:dyDescent="0.3">
      <c r="B74" s="309" t="s">
        <v>196</v>
      </c>
      <c r="C74" s="424"/>
      <c r="D74" s="424"/>
      <c r="E74" s="424"/>
      <c r="F74" s="238" t="str">
        <f>IF(F70=0,"-     ",ROUNDUP(F70/F72,0))</f>
        <v xml:space="preserve">-     </v>
      </c>
      <c r="G74" s="422"/>
      <c r="H74" s="307"/>
      <c r="I74" s="309" t="s">
        <v>194</v>
      </c>
      <c r="J74" s="310"/>
      <c r="K74" s="310"/>
      <c r="L74" s="269">
        <f>IF(F70=0,0,F70/L72)</f>
        <v>0</v>
      </c>
    </row>
    <row r="75" spans="1:14" ht="11.25" customHeight="1" thickBot="1" x14ac:dyDescent="0.3">
      <c r="A75" s="206"/>
      <c r="B75" s="206"/>
      <c r="C75" s="207"/>
      <c r="D75" s="207"/>
      <c r="E75" s="208"/>
      <c r="F75" s="207"/>
      <c r="G75" s="207"/>
      <c r="H75" s="209"/>
      <c r="I75" s="209"/>
      <c r="J75" s="209"/>
      <c r="K75" s="209"/>
      <c r="L75" s="209"/>
      <c r="M75" s="206"/>
      <c r="N75" s="206"/>
    </row>
    <row r="76" spans="1:14" ht="27" customHeight="1" thickBot="1" x14ac:dyDescent="0.45">
      <c r="A76" s="206"/>
      <c r="B76" s="413" t="s">
        <v>215</v>
      </c>
      <c r="C76" s="414"/>
      <c r="D76" s="414"/>
      <c r="E76" s="414"/>
      <c r="F76" s="414"/>
      <c r="G76" s="414"/>
      <c r="H76" s="414"/>
      <c r="I76" s="414"/>
      <c r="J76" s="414"/>
      <c r="K76" s="414"/>
      <c r="L76" s="415"/>
      <c r="M76" s="263"/>
      <c r="N76" s="263"/>
    </row>
    <row r="77" spans="1:14" ht="100.5" customHeight="1" thickBot="1" x14ac:dyDescent="0.3">
      <c r="A77" s="206"/>
      <c r="B77" s="210"/>
      <c r="C77" s="416"/>
      <c r="D77" s="417"/>
      <c r="E77" s="417"/>
      <c r="F77" s="417"/>
      <c r="G77" s="417"/>
      <c r="H77" s="417"/>
      <c r="I77" s="417"/>
      <c r="J77" s="417"/>
      <c r="K77" s="417"/>
      <c r="L77" s="418"/>
      <c r="M77" s="264"/>
      <c r="N77" s="264"/>
    </row>
  </sheetData>
  <sheetProtection algorithmName="SHA-512" hashValue="akdbH7leyxLjOyzXTn2vkt45XuSRPRVPIlnZDu2hgqAL1yow/6aQXhetEYrTDuXgsljLt168fBA0WJRJ72WLUA==" saltValue="fJUlwePaUErgcCbAyn9YDg==" spinCount="100000" sheet="1" selectLockedCells="1"/>
  <mergeCells count="94">
    <mergeCell ref="B76:L76"/>
    <mergeCell ref="C77:L77"/>
    <mergeCell ref="B72:E72"/>
    <mergeCell ref="G72:H74"/>
    <mergeCell ref="I72:K72"/>
    <mergeCell ref="B73:E73"/>
    <mergeCell ref="I73:K73"/>
    <mergeCell ref="B74:E74"/>
    <mergeCell ref="I74:K74"/>
    <mergeCell ref="E63:K63"/>
    <mergeCell ref="C10:F10"/>
    <mergeCell ref="B2:L2"/>
    <mergeCell ref="B14:L14"/>
    <mergeCell ref="B15:B29"/>
    <mergeCell ref="B31:B34"/>
    <mergeCell ref="E27:K27"/>
    <mergeCell ref="E29:K29"/>
    <mergeCell ref="E45:H45"/>
    <mergeCell ref="E25:F25"/>
    <mergeCell ref="E15:F15"/>
    <mergeCell ref="E16:F16"/>
    <mergeCell ref="E17:F17"/>
    <mergeCell ref="E18:F18"/>
    <mergeCell ref="E20:F20"/>
    <mergeCell ref="E22:F22"/>
    <mergeCell ref="E24:F24"/>
    <mergeCell ref="E19:F19"/>
    <mergeCell ref="E21:F21"/>
    <mergeCell ref="E23:F23"/>
    <mergeCell ref="B56:L56"/>
    <mergeCell ref="C26:L26"/>
    <mergeCell ref="C28:L28"/>
    <mergeCell ref="J32:J34"/>
    <mergeCell ref="E31:F31"/>
    <mergeCell ref="E33:F33"/>
    <mergeCell ref="E32:F32"/>
    <mergeCell ref="E34:F34"/>
    <mergeCell ref="E36:H36"/>
    <mergeCell ref="E44:H44"/>
    <mergeCell ref="E46:H46"/>
    <mergeCell ref="E37:H37"/>
    <mergeCell ref="E53:K53"/>
    <mergeCell ref="E50:K50"/>
    <mergeCell ref="E39:K39"/>
    <mergeCell ref="C42:L42"/>
    <mergeCell ref="E43:H43"/>
    <mergeCell ref="C51:I51"/>
    <mergeCell ref="E52:I52"/>
    <mergeCell ref="E48:K48"/>
    <mergeCell ref="E49:K49"/>
    <mergeCell ref="B36:B53"/>
    <mergeCell ref="E55:K55"/>
    <mergeCell ref="B54:L54"/>
    <mergeCell ref="B3:B12"/>
    <mergeCell ref="C3:F3"/>
    <mergeCell ref="C5:F5"/>
    <mergeCell ref="C7:F7"/>
    <mergeCell ref="C9:F9"/>
    <mergeCell ref="C12:F12"/>
    <mergeCell ref="C4:F4"/>
    <mergeCell ref="C6:F6"/>
    <mergeCell ref="C8:F8"/>
    <mergeCell ref="E47:K47"/>
    <mergeCell ref="E38:K38"/>
    <mergeCell ref="E41:K41"/>
    <mergeCell ref="C40:L40"/>
    <mergeCell ref="E57:K57"/>
    <mergeCell ref="E59:K59"/>
    <mergeCell ref="E58:K58"/>
    <mergeCell ref="B60:L60"/>
    <mergeCell ref="G68:H70"/>
    <mergeCell ref="B66:L66"/>
    <mergeCell ref="I70:K70"/>
    <mergeCell ref="B70:E70"/>
    <mergeCell ref="B67:L67"/>
    <mergeCell ref="E65:K65"/>
    <mergeCell ref="B68:E68"/>
    <mergeCell ref="B57:B59"/>
    <mergeCell ref="B69:E69"/>
    <mergeCell ref="I68:K68"/>
    <mergeCell ref="I69:K69"/>
    <mergeCell ref="E61:K61"/>
    <mergeCell ref="B13:L13"/>
    <mergeCell ref="G3:L3"/>
    <mergeCell ref="G5:L5"/>
    <mergeCell ref="G7:L7"/>
    <mergeCell ref="G9:L9"/>
    <mergeCell ref="G4:L4"/>
    <mergeCell ref="G6:L6"/>
    <mergeCell ref="G8:L8"/>
    <mergeCell ref="G10:L10"/>
    <mergeCell ref="H12:L12"/>
    <mergeCell ref="C11:F11"/>
    <mergeCell ref="G11:L11"/>
  </mergeCells>
  <pageMargins left="0.7" right="0.7" top="0.75" bottom="0.75" header="0.3" footer="0.3"/>
  <pageSetup paperSize="9" scale="40" orientation="portrait" r:id="rId1"/>
  <colBreaks count="1" manualBreakCount="1">
    <brk id="12" max="7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DEF8DD-A011-46C9-B219-C1FD075FD384}">
          <x14:formula1>
            <xm:f>Kostpriser!$H$21:$H$29</xm:f>
          </x14:formula1>
          <xm:sqref>E32:F34</xm:sqref>
        </x14:dataValidation>
        <x14:dataValidation type="list" allowBlank="1" showInputMessage="1" showErrorMessage="1" xr:uid="{67F79CBE-278E-4ED8-8A72-77D81FB5C844}">
          <x14:formula1>
            <xm:f>Kostpriser!$H$44:$H$49</xm:f>
          </x14:formula1>
          <xm:sqref>H32:H34</xm:sqref>
        </x14:dataValidation>
        <x14:dataValidation type="list" allowBlank="1" showInputMessage="1" showErrorMessage="1" xr:uid="{469CB0DF-DFF9-45B9-B3FB-67A83179B182}">
          <x14:formula1>
            <xm:f>Kostpriser!$N$3:$N$11</xm:f>
          </x14:formula1>
          <xm:sqref>G12</xm:sqref>
        </x14:dataValidation>
        <x14:dataValidation type="list" allowBlank="1" showErrorMessage="1" promptTitle="Titel" prompt="Vælg titel... ---&gt;" xr:uid="{6AC22AD9-B234-4362-839B-1989607C7AAB}">
          <x14:formula1>
            <xm:f>Kostpriser!$H$5:$H$16</xm:f>
          </x14:formula1>
          <xm:sqref>E16:F25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CCBF-C822-4F2F-82A3-559EE3291C3E}">
  <sheetPr codeName="Ark2">
    <tabColor theme="6" tint="0.59999389629810485"/>
  </sheetPr>
  <dimension ref="A1:R59"/>
  <sheetViews>
    <sheetView topLeftCell="A3" workbookViewId="0">
      <selection activeCell="E21" sqref="E21"/>
    </sheetView>
  </sheetViews>
  <sheetFormatPr defaultColWidth="9.140625" defaultRowHeight="15" x14ac:dyDescent="0.25"/>
  <cols>
    <col min="1" max="1" width="0.85546875" customWidth="1"/>
    <col min="2" max="2" width="34.42578125" customWidth="1"/>
    <col min="3" max="3" width="64" customWidth="1"/>
    <col min="4" max="4" width="16.7109375" customWidth="1"/>
    <col min="5" max="5" width="13.5703125" customWidth="1"/>
    <col min="6" max="9" width="13.5703125" style="28" customWidth="1"/>
    <col min="10" max="14" width="13.7109375" style="28" hidden="1" customWidth="1"/>
    <col min="15" max="15" width="17.7109375" style="28" customWidth="1"/>
    <col min="16" max="18" width="14.85546875" customWidth="1"/>
    <col min="19" max="19" width="13.140625" customWidth="1"/>
  </cols>
  <sheetData>
    <row r="1" spans="2:15" ht="4.5" customHeight="1" thickBot="1" x14ac:dyDescent="0.3"/>
    <row r="2" spans="2:15" s="1" customFormat="1" ht="36.75" thickBot="1" x14ac:dyDescent="0.6">
      <c r="B2" s="427" t="s">
        <v>129</v>
      </c>
      <c r="C2" s="428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5" s="1" customFormat="1" ht="4.5" customHeight="1" thickBot="1" x14ac:dyDescent="0.6">
      <c r="B3" s="65"/>
      <c r="C3" s="66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s="1" customFormat="1" ht="15" customHeight="1" thickBot="1" x14ac:dyDescent="0.6">
      <c r="B4" s="429" t="s">
        <v>38</v>
      </c>
      <c r="C4" s="430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s="1" customFormat="1" ht="16.5" customHeight="1" x14ac:dyDescent="0.25">
      <c r="B5" s="67" t="s">
        <v>130</v>
      </c>
      <c r="C5" s="75" t="s">
        <v>56</v>
      </c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5" s="1" customFormat="1" ht="16.5" customHeight="1" x14ac:dyDescent="0.25">
      <c r="B6" s="68" t="s">
        <v>131</v>
      </c>
      <c r="C6" s="213" t="str">
        <f>'Budget - uden udstyr'!G7</f>
        <v>[dd-mm-åååå]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2:15" s="1" customFormat="1" ht="16.5" customHeight="1" x14ac:dyDescent="0.25">
      <c r="B7" s="68" t="s">
        <v>132</v>
      </c>
      <c r="C7" s="265" t="str">
        <f>'Budget - uden udstyr'!G8</f>
        <v>[dd-mm-åååå]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5" s="1" customFormat="1" ht="16.5" customHeight="1" x14ac:dyDescent="0.25">
      <c r="B8" s="68" t="s">
        <v>133</v>
      </c>
      <c r="C8" s="192" t="s">
        <v>199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2:15" s="1" customFormat="1" ht="16.5" customHeight="1" x14ac:dyDescent="0.25">
      <c r="B9" s="68" t="s">
        <v>134</v>
      </c>
      <c r="C9" s="193" t="s">
        <v>202</v>
      </c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2:15" s="1" customFormat="1" ht="16.5" customHeight="1" x14ac:dyDescent="0.25">
      <c r="B10" s="68" t="s">
        <v>139</v>
      </c>
      <c r="C10" s="76" t="str">
        <f>IF('Budget - uden udstyr'!G3="","",'Budget - uden udstyr'!G3)</f>
        <v>[Indtast projektnavn]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2:15" s="1" customFormat="1" ht="16.5" customHeight="1" x14ac:dyDescent="0.25">
      <c r="B11" s="68" t="s">
        <v>191</v>
      </c>
      <c r="C11" s="193">
        <v>2025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2:15" s="1" customFormat="1" ht="16.5" customHeight="1" x14ac:dyDescent="0.25">
      <c r="B12" s="68" t="s">
        <v>135</v>
      </c>
      <c r="C12" s="76" t="str">
        <f>IF('Budget - uden udstyr'!G6="","",'Budget - uden udstyr'!G6)</f>
        <v>[Indtast navn SDU bevillingshaver]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2:15" s="1" customFormat="1" ht="16.5" customHeight="1" x14ac:dyDescent="0.25">
      <c r="B13" s="68" t="s">
        <v>136</v>
      </c>
      <c r="C13" s="76" t="str">
        <f>IF('Budget - uden udstyr'!G5="","",'Budget - uden udstyr'!G5)</f>
        <v>[Indtast kunde-/virksomhedsnavn]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2:15" s="1" customFormat="1" ht="16.5" customHeight="1" x14ac:dyDescent="0.25">
      <c r="B14" s="68" t="s">
        <v>137</v>
      </c>
      <c r="C14" s="77">
        <f>'Budget - uden udstyr'!F70</f>
        <v>0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2:15" s="1" customFormat="1" ht="16.5" customHeight="1" thickBot="1" x14ac:dyDescent="0.3">
      <c r="B15" s="69" t="s">
        <v>57</v>
      </c>
      <c r="C15" s="78" t="s">
        <v>60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2:15" ht="6" customHeight="1" thickBot="1" x14ac:dyDescent="0.3">
      <c r="B16" s="277"/>
      <c r="C16" s="277"/>
    </row>
    <row r="17" spans="1:18" s="1" customFormat="1" ht="36.75" thickBot="1" x14ac:dyDescent="0.3">
      <c r="B17" s="427" t="s">
        <v>1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28"/>
    </row>
    <row r="18" spans="1:18" s="1" customFormat="1" ht="17.25" customHeight="1" thickBot="1" x14ac:dyDescent="0.3">
      <c r="B18" s="9" t="s">
        <v>138</v>
      </c>
      <c r="C18" s="26" t="s">
        <v>58</v>
      </c>
      <c r="D18" s="99" t="s">
        <v>59</v>
      </c>
      <c r="E18" s="100">
        <f>C11</f>
        <v>2025</v>
      </c>
      <c r="F18" s="100">
        <f>E18+1</f>
        <v>2026</v>
      </c>
      <c r="G18" s="100">
        <f t="shared" ref="G18:N18" si="0">F18+1</f>
        <v>2027</v>
      </c>
      <c r="H18" s="100">
        <f t="shared" si="0"/>
        <v>2028</v>
      </c>
      <c r="I18" s="100">
        <f t="shared" si="0"/>
        <v>2029</v>
      </c>
      <c r="J18" s="100">
        <f t="shared" si="0"/>
        <v>2030</v>
      </c>
      <c r="K18" s="100">
        <f t="shared" si="0"/>
        <v>2031</v>
      </c>
      <c r="L18" s="100">
        <f t="shared" si="0"/>
        <v>2032</v>
      </c>
      <c r="M18" s="100">
        <f t="shared" si="0"/>
        <v>2033</v>
      </c>
      <c r="N18" s="100">
        <f t="shared" si="0"/>
        <v>2034</v>
      </c>
      <c r="O18" s="101" t="s">
        <v>48</v>
      </c>
    </row>
    <row r="19" spans="1:18" s="1" customFormat="1" ht="2.25" customHeight="1" x14ac:dyDescent="0.2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</row>
    <row r="20" spans="1:18" ht="2.25" customHeight="1" thickBot="1" x14ac:dyDescent="0.3"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</row>
    <row r="21" spans="1:18" ht="15" customHeight="1" x14ac:dyDescent="0.25">
      <c r="A21" s="70" t="s">
        <v>60</v>
      </c>
      <c r="B21" s="80" t="s">
        <v>61</v>
      </c>
      <c r="C21" s="81" t="s">
        <v>181</v>
      </c>
      <c r="D21" s="74" t="s">
        <v>62</v>
      </c>
      <c r="E21" s="214">
        <f>(SUM('Budget - uden udstyr'!L16:L25))*'Budget - uden udstyr'!G12</f>
        <v>0</v>
      </c>
      <c r="F21" s="214"/>
      <c r="G21" s="214"/>
      <c r="H21" s="214"/>
      <c r="I21" s="214"/>
      <c r="J21" s="89"/>
      <c r="K21" s="89"/>
      <c r="L21" s="89"/>
      <c r="M21" s="89"/>
      <c r="N21" s="89"/>
      <c r="O21" s="90">
        <f t="shared" ref="O21:O32" si="1">SUM(E21:N21)</f>
        <v>0</v>
      </c>
      <c r="P21" s="88"/>
      <c r="Q21" s="87"/>
      <c r="R21" s="87"/>
    </row>
    <row r="22" spans="1:18" ht="15" customHeight="1" x14ac:dyDescent="0.25">
      <c r="B22" s="82" t="s">
        <v>65</v>
      </c>
      <c r="C22" s="106" t="s">
        <v>140</v>
      </c>
      <c r="D22" s="107" t="s">
        <v>64</v>
      </c>
      <c r="E22" s="215">
        <f>('Budget - uden udstyr'!L27)*'Budget - uden udstyr'!G12</f>
        <v>0</v>
      </c>
      <c r="F22" s="215"/>
      <c r="G22" s="215"/>
      <c r="H22" s="215"/>
      <c r="I22" s="215"/>
      <c r="J22" s="91"/>
      <c r="K22" s="91"/>
      <c r="L22" s="91"/>
      <c r="M22" s="91"/>
      <c r="N22" s="91"/>
      <c r="O22" s="92">
        <f t="shared" si="1"/>
        <v>0</v>
      </c>
      <c r="P22" s="88"/>
      <c r="Q22" s="87"/>
      <c r="R22" s="87"/>
    </row>
    <row r="23" spans="1:18" ht="15" customHeight="1" x14ac:dyDescent="0.25">
      <c r="B23" s="82" t="s">
        <v>65</v>
      </c>
      <c r="C23" s="106" t="s">
        <v>141</v>
      </c>
      <c r="D23" s="107" t="s">
        <v>64</v>
      </c>
      <c r="E23" s="215">
        <f>('Budget - uden udstyr'!L29)*'Budget - uden udstyr'!G12</f>
        <v>0</v>
      </c>
      <c r="F23" s="215"/>
      <c r="G23" s="215"/>
      <c r="H23" s="215"/>
      <c r="I23" s="215"/>
      <c r="J23" s="91"/>
      <c r="K23" s="91"/>
      <c r="L23" s="91"/>
      <c r="M23" s="91"/>
      <c r="N23" s="91"/>
      <c r="O23" s="92">
        <f t="shared" si="1"/>
        <v>0</v>
      </c>
      <c r="P23" s="88"/>
      <c r="Q23" s="87"/>
      <c r="R23" s="87"/>
    </row>
    <row r="24" spans="1:18" ht="15" customHeight="1" x14ac:dyDescent="0.25">
      <c r="B24" s="82" t="s">
        <v>63</v>
      </c>
      <c r="C24" s="106" t="s">
        <v>153</v>
      </c>
      <c r="D24" s="107" t="s">
        <v>62</v>
      </c>
      <c r="E24" s="215">
        <f>(SUMIF('Budget - uden udstyr'!$H$32:$H$34,'Grønt budgetark'!C24,'Budget - uden udstyr'!$L$32:$L$34))*'Budget - uden udstyr'!G12</f>
        <v>0</v>
      </c>
      <c r="F24" s="215"/>
      <c r="G24" s="215"/>
      <c r="H24" s="215"/>
      <c r="I24" s="215"/>
      <c r="J24" s="91"/>
      <c r="K24" s="91"/>
      <c r="L24" s="91"/>
      <c r="M24" s="91"/>
      <c r="N24" s="91"/>
      <c r="O24" s="92">
        <f t="shared" si="1"/>
        <v>0</v>
      </c>
      <c r="P24" s="88"/>
      <c r="Q24" s="87"/>
      <c r="R24" s="87"/>
    </row>
    <row r="25" spans="1:18" ht="15" customHeight="1" x14ac:dyDescent="0.25">
      <c r="B25" s="83" t="s">
        <v>63</v>
      </c>
      <c r="C25" s="106" t="s">
        <v>154</v>
      </c>
      <c r="D25" s="107" t="s">
        <v>62</v>
      </c>
      <c r="E25" s="215">
        <f>(SUMIF('Budget - uden udstyr'!$H$32:$H$34,'Grønt budgetark'!C25,'Budget - uden udstyr'!$L$32:$L$34))*'Budget - uden udstyr'!G12</f>
        <v>0</v>
      </c>
      <c r="F25" s="215"/>
      <c r="G25" s="215"/>
      <c r="H25" s="215"/>
      <c r="I25" s="215"/>
      <c r="J25" s="91"/>
      <c r="K25" s="91"/>
      <c r="L25" s="91"/>
      <c r="M25" s="91"/>
      <c r="N25" s="91"/>
      <c r="O25" s="92">
        <f t="shared" si="1"/>
        <v>0</v>
      </c>
      <c r="P25" s="88"/>
      <c r="Q25" s="87"/>
      <c r="R25" s="87"/>
    </row>
    <row r="26" spans="1:18" x14ac:dyDescent="0.25">
      <c r="B26" s="82" t="s">
        <v>63</v>
      </c>
      <c r="C26" s="106" t="s">
        <v>155</v>
      </c>
      <c r="D26" s="107" t="s">
        <v>62</v>
      </c>
      <c r="E26" s="215">
        <f>(SUMIF('Budget - uden udstyr'!$H$32:$H$34,'Grønt budgetark'!C26,'Budget - uden udstyr'!$L$32:$L$34))*'Budget - uden udstyr'!G12</f>
        <v>0</v>
      </c>
      <c r="F26" s="215"/>
      <c r="G26" s="215"/>
      <c r="H26" s="215"/>
      <c r="I26" s="215"/>
      <c r="J26" s="91"/>
      <c r="K26" s="91"/>
      <c r="L26" s="91"/>
      <c r="M26" s="91"/>
      <c r="N26" s="91"/>
      <c r="O26" s="92">
        <f t="shared" si="1"/>
        <v>0</v>
      </c>
      <c r="P26" s="88"/>
      <c r="Q26" s="87"/>
      <c r="R26" s="87"/>
    </row>
    <row r="27" spans="1:18" x14ac:dyDescent="0.25">
      <c r="B27" s="82" t="s">
        <v>63</v>
      </c>
      <c r="C27" s="106" t="s">
        <v>156</v>
      </c>
      <c r="D27" s="107" t="s">
        <v>62</v>
      </c>
      <c r="E27" s="215">
        <f>(SUMIF('Budget - uden udstyr'!$H$32:$H$34,'Grønt budgetark'!C27,'Budget - uden udstyr'!$L$32:$L$34))*'Budget - uden udstyr'!G12</f>
        <v>0</v>
      </c>
      <c r="F27" s="215"/>
      <c r="G27" s="215"/>
      <c r="H27" s="215"/>
      <c r="I27" s="215"/>
      <c r="J27" s="91"/>
      <c r="K27" s="91"/>
      <c r="L27" s="91"/>
      <c r="M27" s="91"/>
      <c r="N27" s="91"/>
      <c r="O27" s="92">
        <f t="shared" si="1"/>
        <v>0</v>
      </c>
      <c r="P27" s="88"/>
      <c r="Q27" s="87"/>
      <c r="R27" s="87"/>
    </row>
    <row r="28" spans="1:18" x14ac:dyDescent="0.25">
      <c r="B28" s="82" t="s">
        <v>63</v>
      </c>
      <c r="C28" s="108" t="s">
        <v>190</v>
      </c>
      <c r="D28" s="107" t="s">
        <v>62</v>
      </c>
      <c r="E28" s="215">
        <f>(SUMIF('Budget - uden udstyr'!$H$32:$H$34,'Grønt budgetark'!C28,'Budget - uden udstyr'!$L$32:$L$34))*'Budget - uden udstyr'!G12</f>
        <v>0</v>
      </c>
      <c r="F28" s="215"/>
      <c r="G28" s="215"/>
      <c r="H28" s="215"/>
      <c r="I28" s="215"/>
      <c r="J28" s="91"/>
      <c r="K28" s="91"/>
      <c r="L28" s="91"/>
      <c r="M28" s="91"/>
      <c r="N28" s="91"/>
      <c r="O28" s="92">
        <f t="shared" si="1"/>
        <v>0</v>
      </c>
      <c r="P28" s="88"/>
      <c r="Q28" s="87"/>
      <c r="R28" s="87"/>
    </row>
    <row r="29" spans="1:18" x14ac:dyDescent="0.25">
      <c r="B29" s="82" t="s">
        <v>66</v>
      </c>
      <c r="C29" s="108" t="s">
        <v>157</v>
      </c>
      <c r="D29" s="107" t="s">
        <v>64</v>
      </c>
      <c r="E29" s="215">
        <f>('Budget - uden udstyr'!L37)*'Budget - uden udstyr'!G12</f>
        <v>0</v>
      </c>
      <c r="F29" s="215"/>
      <c r="G29" s="215"/>
      <c r="H29" s="215"/>
      <c r="I29" s="215"/>
      <c r="J29" s="91"/>
      <c r="K29" s="91"/>
      <c r="L29" s="91"/>
      <c r="M29" s="91"/>
      <c r="N29" s="91"/>
      <c r="O29" s="92">
        <f t="shared" si="1"/>
        <v>0</v>
      </c>
      <c r="P29" s="88"/>
      <c r="Q29" s="87"/>
      <c r="R29" s="87"/>
    </row>
    <row r="30" spans="1:18" x14ac:dyDescent="0.25">
      <c r="B30" s="82" t="s">
        <v>66</v>
      </c>
      <c r="C30" s="108" t="s">
        <v>158</v>
      </c>
      <c r="D30" s="107" t="s">
        <v>64</v>
      </c>
      <c r="E30" s="215">
        <f>('Budget - uden udstyr'!L38)*'Budget - uden udstyr'!G12</f>
        <v>0</v>
      </c>
      <c r="F30" s="215"/>
      <c r="G30" s="215"/>
      <c r="H30" s="215"/>
      <c r="I30" s="215"/>
      <c r="J30" s="91"/>
      <c r="K30" s="91"/>
      <c r="L30" s="91"/>
      <c r="M30" s="91"/>
      <c r="N30" s="91"/>
      <c r="O30" s="92">
        <f t="shared" si="1"/>
        <v>0</v>
      </c>
      <c r="P30" s="88"/>
      <c r="Q30" s="87"/>
      <c r="R30" s="87"/>
    </row>
    <row r="31" spans="1:18" x14ac:dyDescent="0.25">
      <c r="B31" s="82" t="s">
        <v>66</v>
      </c>
      <c r="C31" s="108" t="s">
        <v>159</v>
      </c>
      <c r="D31" s="107" t="s">
        <v>64</v>
      </c>
      <c r="E31" s="215">
        <f>('Budget - uden udstyr'!L39)*'Budget - uden udstyr'!G12</f>
        <v>0</v>
      </c>
      <c r="F31" s="215"/>
      <c r="G31" s="215"/>
      <c r="H31" s="215"/>
      <c r="I31" s="215"/>
      <c r="J31" s="91"/>
      <c r="K31" s="91"/>
      <c r="L31" s="91"/>
      <c r="M31" s="91"/>
      <c r="N31" s="91"/>
      <c r="O31" s="92">
        <f t="shared" si="1"/>
        <v>0</v>
      </c>
      <c r="P31" s="88"/>
      <c r="Q31" s="87"/>
      <c r="R31" s="87"/>
    </row>
    <row r="32" spans="1:18" x14ac:dyDescent="0.25">
      <c r="B32" s="82" t="s">
        <v>67</v>
      </c>
      <c r="C32" s="108" t="s">
        <v>160</v>
      </c>
      <c r="D32" s="107" t="s">
        <v>64</v>
      </c>
      <c r="E32" s="215">
        <f>('Budget - uden udstyr'!L41)*'Budget - uden udstyr'!G12</f>
        <v>0</v>
      </c>
      <c r="F32" s="215"/>
      <c r="G32" s="215"/>
      <c r="H32" s="215"/>
      <c r="I32" s="215"/>
      <c r="J32" s="91"/>
      <c r="K32" s="91"/>
      <c r="L32" s="91"/>
      <c r="M32" s="91"/>
      <c r="N32" s="91"/>
      <c r="O32" s="92">
        <f t="shared" si="1"/>
        <v>0</v>
      </c>
      <c r="P32" s="88"/>
      <c r="Q32" s="87"/>
      <c r="R32" s="87"/>
    </row>
    <row r="33" spans="2:18" ht="13.5" hidden="1" customHeight="1" x14ac:dyDescent="0.25">
      <c r="B33" s="82"/>
      <c r="C33" s="108"/>
      <c r="D33" s="107" t="s">
        <v>145</v>
      </c>
      <c r="E33" s="215"/>
      <c r="F33" s="215"/>
      <c r="G33" s="215"/>
      <c r="H33" s="215"/>
      <c r="I33" s="215"/>
      <c r="J33" s="91"/>
      <c r="K33" s="91"/>
      <c r="L33" s="91"/>
      <c r="M33" s="91"/>
      <c r="N33" s="91"/>
      <c r="O33" s="92"/>
      <c r="P33" s="88"/>
      <c r="Q33" s="87"/>
      <c r="R33" s="87"/>
    </row>
    <row r="34" spans="2:18" hidden="1" x14ac:dyDescent="0.25">
      <c r="B34" s="82"/>
      <c r="C34" s="106"/>
      <c r="D34" s="107" t="s">
        <v>146</v>
      </c>
      <c r="E34" s="215"/>
      <c r="F34" s="215"/>
      <c r="G34" s="215"/>
      <c r="H34" s="215"/>
      <c r="I34" s="215"/>
      <c r="J34" s="91"/>
      <c r="K34" s="91"/>
      <c r="L34" s="91"/>
      <c r="M34" s="91"/>
      <c r="N34" s="91"/>
      <c r="O34" s="92">
        <f t="shared" ref="O34:O49" si="2">SUM(E34:N34)</f>
        <v>0</v>
      </c>
      <c r="P34" s="88"/>
      <c r="Q34" s="87"/>
      <c r="R34" s="87"/>
    </row>
    <row r="35" spans="2:18" hidden="1" x14ac:dyDescent="0.25">
      <c r="B35" s="82"/>
      <c r="C35" s="106"/>
      <c r="D35" s="107" t="s">
        <v>147</v>
      </c>
      <c r="E35" s="215"/>
      <c r="F35" s="215"/>
      <c r="G35" s="215"/>
      <c r="H35" s="215"/>
      <c r="I35" s="215"/>
      <c r="J35" s="91"/>
      <c r="K35" s="91"/>
      <c r="L35" s="91"/>
      <c r="M35" s="91"/>
      <c r="N35" s="91"/>
      <c r="O35" s="92">
        <f t="shared" si="2"/>
        <v>0</v>
      </c>
      <c r="P35" s="88"/>
      <c r="Q35" s="87"/>
      <c r="R35" s="87"/>
    </row>
    <row r="36" spans="2:18" hidden="1" x14ac:dyDescent="0.25">
      <c r="B36" s="82"/>
      <c r="C36" s="108"/>
      <c r="D36" s="107" t="s">
        <v>148</v>
      </c>
      <c r="E36" s="215"/>
      <c r="F36" s="215"/>
      <c r="G36" s="215"/>
      <c r="H36" s="215"/>
      <c r="I36" s="215"/>
      <c r="J36" s="91"/>
      <c r="K36" s="91"/>
      <c r="L36" s="91"/>
      <c r="M36" s="91"/>
      <c r="N36" s="91"/>
      <c r="O36" s="92">
        <f t="shared" si="2"/>
        <v>0</v>
      </c>
      <c r="P36" s="88"/>
      <c r="Q36" s="87"/>
      <c r="R36" s="87"/>
    </row>
    <row r="37" spans="2:18" ht="20.25" hidden="1" customHeight="1" x14ac:dyDescent="0.25">
      <c r="B37" s="82"/>
      <c r="C37" s="108"/>
      <c r="D37" s="107" t="s">
        <v>149</v>
      </c>
      <c r="E37" s="215"/>
      <c r="F37" s="215"/>
      <c r="G37" s="215"/>
      <c r="H37" s="215"/>
      <c r="I37" s="215"/>
      <c r="J37" s="91"/>
      <c r="K37" s="91"/>
      <c r="L37" s="91"/>
      <c r="M37" s="91"/>
      <c r="N37" s="91"/>
      <c r="O37" s="92">
        <f t="shared" si="2"/>
        <v>0</v>
      </c>
      <c r="P37" s="88"/>
      <c r="Q37" s="87"/>
      <c r="R37" s="87"/>
    </row>
    <row r="38" spans="2:18" hidden="1" x14ac:dyDescent="0.25">
      <c r="B38" s="82"/>
      <c r="C38" s="108"/>
      <c r="D38" s="107" t="s">
        <v>150</v>
      </c>
      <c r="E38" s="215"/>
      <c r="F38" s="215"/>
      <c r="G38" s="215"/>
      <c r="H38" s="215"/>
      <c r="I38" s="215"/>
      <c r="J38" s="91"/>
      <c r="K38" s="91"/>
      <c r="L38" s="91"/>
      <c r="M38" s="91"/>
      <c r="N38" s="91"/>
      <c r="O38" s="92">
        <f t="shared" si="2"/>
        <v>0</v>
      </c>
      <c r="P38" s="88"/>
      <c r="Q38" s="87"/>
      <c r="R38" s="87"/>
    </row>
    <row r="39" spans="2:18" hidden="1" x14ac:dyDescent="0.25">
      <c r="B39" s="82"/>
      <c r="C39" s="108"/>
      <c r="D39" s="107" t="s">
        <v>151</v>
      </c>
      <c r="E39" s="215"/>
      <c r="F39" s="215"/>
      <c r="G39" s="215"/>
      <c r="H39" s="215"/>
      <c r="I39" s="215"/>
      <c r="J39" s="91"/>
      <c r="K39" s="91"/>
      <c r="L39" s="91"/>
      <c r="M39" s="91"/>
      <c r="N39" s="91"/>
      <c r="O39" s="92">
        <f t="shared" si="2"/>
        <v>0</v>
      </c>
      <c r="P39" s="88"/>
      <c r="Q39" s="87"/>
      <c r="R39" s="87"/>
    </row>
    <row r="40" spans="2:18" hidden="1" x14ac:dyDescent="0.25">
      <c r="B40" s="82"/>
      <c r="C40" s="106"/>
      <c r="D40" s="107" t="s">
        <v>152</v>
      </c>
      <c r="E40" s="215"/>
      <c r="F40" s="215"/>
      <c r="G40" s="215"/>
      <c r="H40" s="215"/>
      <c r="I40" s="215"/>
      <c r="J40" s="91"/>
      <c r="K40" s="91"/>
      <c r="L40" s="91"/>
      <c r="M40" s="91"/>
      <c r="N40" s="91"/>
      <c r="O40" s="92">
        <f t="shared" si="2"/>
        <v>0</v>
      </c>
      <c r="P40" s="88"/>
      <c r="Q40" s="87"/>
      <c r="R40" s="87"/>
    </row>
    <row r="41" spans="2:18" x14ac:dyDescent="0.25">
      <c r="B41" s="82" t="s">
        <v>65</v>
      </c>
      <c r="C41" s="106" t="s">
        <v>161</v>
      </c>
      <c r="D41" s="107" t="s">
        <v>64</v>
      </c>
      <c r="E41" s="215">
        <f>('Budget - uden udstyr'!L44)*'Budget - uden udstyr'!G12</f>
        <v>0</v>
      </c>
      <c r="F41" s="215"/>
      <c r="G41" s="215"/>
      <c r="H41" s="215"/>
      <c r="I41" s="215"/>
      <c r="J41" s="91"/>
      <c r="K41" s="91"/>
      <c r="L41" s="91"/>
      <c r="M41" s="91"/>
      <c r="N41" s="91"/>
      <c r="O41" s="92">
        <f t="shared" si="2"/>
        <v>0</v>
      </c>
      <c r="P41" s="88"/>
      <c r="Q41" s="87"/>
      <c r="R41" s="87"/>
    </row>
    <row r="42" spans="2:18" x14ac:dyDescent="0.25">
      <c r="B42" s="82" t="s">
        <v>65</v>
      </c>
      <c r="C42" s="108" t="s">
        <v>162</v>
      </c>
      <c r="D42" s="107" t="s">
        <v>64</v>
      </c>
      <c r="E42" s="215">
        <f>('Budget - uden udstyr'!L45)*'Budget - uden udstyr'!G12</f>
        <v>0</v>
      </c>
      <c r="F42" s="215"/>
      <c r="G42" s="215"/>
      <c r="H42" s="215"/>
      <c r="I42" s="215"/>
      <c r="J42" s="91"/>
      <c r="K42" s="91"/>
      <c r="L42" s="91"/>
      <c r="M42" s="91"/>
      <c r="N42" s="91"/>
      <c r="O42" s="92">
        <f t="shared" si="2"/>
        <v>0</v>
      </c>
      <c r="P42" s="88"/>
      <c r="Q42" s="87"/>
      <c r="R42" s="87"/>
    </row>
    <row r="43" spans="2:18" x14ac:dyDescent="0.25">
      <c r="B43" s="82" t="s">
        <v>65</v>
      </c>
      <c r="C43" s="108" t="s">
        <v>163</v>
      </c>
      <c r="D43" s="107" t="s">
        <v>64</v>
      </c>
      <c r="E43" s="215">
        <f>('Budget - uden udstyr'!L46)*'Budget - uden udstyr'!G12</f>
        <v>0</v>
      </c>
      <c r="F43" s="215"/>
      <c r="G43" s="215"/>
      <c r="H43" s="215"/>
      <c r="I43" s="215"/>
      <c r="J43" s="91"/>
      <c r="K43" s="91"/>
      <c r="L43" s="91"/>
      <c r="M43" s="91"/>
      <c r="N43" s="91"/>
      <c r="O43" s="92">
        <f t="shared" si="2"/>
        <v>0</v>
      </c>
      <c r="P43" s="88"/>
      <c r="Q43" s="87"/>
      <c r="R43" s="87"/>
    </row>
    <row r="44" spans="2:18" x14ac:dyDescent="0.25">
      <c r="B44" s="82" t="s">
        <v>65</v>
      </c>
      <c r="C44" s="108" t="s">
        <v>164</v>
      </c>
      <c r="D44" s="107" t="s">
        <v>64</v>
      </c>
      <c r="E44" s="215">
        <f>('Budget - uden udstyr'!L47)*'Budget - uden udstyr'!G12</f>
        <v>0</v>
      </c>
      <c r="F44" s="215"/>
      <c r="G44" s="215"/>
      <c r="H44" s="215"/>
      <c r="I44" s="215"/>
      <c r="J44" s="91"/>
      <c r="K44" s="91"/>
      <c r="L44" s="91"/>
      <c r="M44" s="91"/>
      <c r="N44" s="91"/>
      <c r="O44" s="92">
        <f t="shared" si="2"/>
        <v>0</v>
      </c>
      <c r="P44" s="88"/>
      <c r="Q44" s="87"/>
      <c r="R44" s="87"/>
    </row>
    <row r="45" spans="2:18" x14ac:dyDescent="0.25">
      <c r="B45" s="82" t="s">
        <v>65</v>
      </c>
      <c r="C45" s="108" t="s">
        <v>165</v>
      </c>
      <c r="D45" s="107" t="s">
        <v>64</v>
      </c>
      <c r="E45" s="215">
        <f>('Budget - uden udstyr'!L48)*'Budget - uden udstyr'!G12</f>
        <v>0</v>
      </c>
      <c r="F45" s="215"/>
      <c r="G45" s="215"/>
      <c r="H45" s="215"/>
      <c r="I45" s="215"/>
      <c r="J45" s="91"/>
      <c r="K45" s="91"/>
      <c r="L45" s="91"/>
      <c r="M45" s="91"/>
      <c r="N45" s="91"/>
      <c r="O45" s="92">
        <f t="shared" si="2"/>
        <v>0</v>
      </c>
      <c r="P45" s="88"/>
      <c r="Q45" s="87"/>
      <c r="R45" s="87"/>
    </row>
    <row r="46" spans="2:18" x14ac:dyDescent="0.25">
      <c r="B46" s="82" t="s">
        <v>65</v>
      </c>
      <c r="C46" s="108" t="s">
        <v>166</v>
      </c>
      <c r="D46" s="107" t="s">
        <v>64</v>
      </c>
      <c r="E46" s="215">
        <f>('Budget - uden udstyr'!L49)*'Budget - uden udstyr'!G12</f>
        <v>0</v>
      </c>
      <c r="F46" s="215"/>
      <c r="G46" s="215"/>
      <c r="H46" s="215"/>
      <c r="I46" s="215"/>
      <c r="J46" s="91"/>
      <c r="K46" s="91"/>
      <c r="L46" s="91"/>
      <c r="M46" s="91"/>
      <c r="N46" s="91"/>
      <c r="O46" s="92">
        <f t="shared" si="2"/>
        <v>0</v>
      </c>
      <c r="P46" s="88"/>
      <c r="Q46" s="87"/>
      <c r="R46" s="87"/>
    </row>
    <row r="47" spans="2:18" x14ac:dyDescent="0.25">
      <c r="B47" s="82" t="s">
        <v>65</v>
      </c>
      <c r="C47" s="108" t="s">
        <v>167</v>
      </c>
      <c r="D47" s="107" t="s">
        <v>64</v>
      </c>
      <c r="E47" s="215">
        <f>('Budget - uden udstyr'!L50)*'Budget - uden udstyr'!G12</f>
        <v>0</v>
      </c>
      <c r="F47" s="215"/>
      <c r="G47" s="215"/>
      <c r="H47" s="215"/>
      <c r="I47" s="215"/>
      <c r="J47" s="91"/>
      <c r="K47" s="91"/>
      <c r="L47" s="91"/>
      <c r="M47" s="91"/>
      <c r="N47" s="91"/>
      <c r="O47" s="92">
        <f t="shared" si="2"/>
        <v>0</v>
      </c>
      <c r="P47" s="88"/>
      <c r="Q47" s="87"/>
      <c r="R47" s="87"/>
    </row>
    <row r="48" spans="2:18" x14ac:dyDescent="0.25">
      <c r="B48" s="82" t="s">
        <v>65</v>
      </c>
      <c r="C48" s="108" t="s">
        <v>168</v>
      </c>
      <c r="D48" s="107" t="s">
        <v>64</v>
      </c>
      <c r="E48" s="215">
        <f>('Budget - uden udstyr'!L52)*'Budget - uden udstyr'!G12</f>
        <v>0</v>
      </c>
      <c r="F48" s="215"/>
      <c r="G48" s="215"/>
      <c r="H48" s="215"/>
      <c r="I48" s="215"/>
      <c r="J48" s="91"/>
      <c r="K48" s="91"/>
      <c r="L48" s="91"/>
      <c r="M48" s="91"/>
      <c r="N48" s="91"/>
      <c r="O48" s="92">
        <f t="shared" si="2"/>
        <v>0</v>
      </c>
      <c r="P48" s="88"/>
      <c r="Q48" s="87"/>
      <c r="R48" s="87"/>
    </row>
    <row r="49" spans="1:18" x14ac:dyDescent="0.25">
      <c r="B49" s="82" t="s">
        <v>65</v>
      </c>
      <c r="C49" s="108" t="s">
        <v>169</v>
      </c>
      <c r="D49" s="107" t="s">
        <v>64</v>
      </c>
      <c r="E49" s="215">
        <f>('Budget - uden udstyr'!L53)*'Budget - uden udstyr'!G12</f>
        <v>0</v>
      </c>
      <c r="F49" s="215"/>
      <c r="G49" s="215"/>
      <c r="H49" s="215"/>
      <c r="I49" s="215"/>
      <c r="J49" s="91"/>
      <c r="K49" s="91"/>
      <c r="L49" s="91"/>
      <c r="M49" s="91"/>
      <c r="N49" s="91"/>
      <c r="O49" s="92">
        <f t="shared" si="2"/>
        <v>0</v>
      </c>
      <c r="P49" s="88"/>
      <c r="Q49" s="87"/>
      <c r="R49" s="87"/>
    </row>
    <row r="50" spans="1:18" ht="6" customHeight="1" x14ac:dyDescent="0.25">
      <c r="B50" s="82"/>
      <c r="C50" s="108"/>
      <c r="D50" s="107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2"/>
      <c r="P50" s="88"/>
      <c r="Q50" s="87"/>
      <c r="R50" s="87"/>
    </row>
    <row r="51" spans="1:18" x14ac:dyDescent="0.25">
      <c r="B51" s="82" t="s">
        <v>68</v>
      </c>
      <c r="C51" s="106" t="s">
        <v>69</v>
      </c>
      <c r="D51" s="107" t="s">
        <v>70</v>
      </c>
      <c r="E51" s="215">
        <f>('Budget - uden udstyr'!L63)*'Budget - uden udstyr'!G12</f>
        <v>0</v>
      </c>
      <c r="F51" s="215"/>
      <c r="G51" s="215"/>
      <c r="H51" s="215"/>
      <c r="I51" s="215"/>
      <c r="J51" s="91"/>
      <c r="K51" s="91"/>
      <c r="L51" s="91"/>
      <c r="M51" s="91"/>
      <c r="N51" s="91"/>
      <c r="O51" s="92">
        <f>SUM(E51:N51)</f>
        <v>0</v>
      </c>
      <c r="P51" s="87"/>
      <c r="Q51" s="87"/>
      <c r="R51" s="87"/>
    </row>
    <row r="52" spans="1:18" ht="6" customHeight="1" x14ac:dyDescent="0.25">
      <c r="B52" s="83"/>
      <c r="C52" s="106"/>
      <c r="D52" s="107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2"/>
      <c r="P52" s="87"/>
      <c r="Q52" s="87"/>
      <c r="R52" s="87"/>
    </row>
    <row r="53" spans="1:18" x14ac:dyDescent="0.25">
      <c r="B53" s="83" t="s">
        <v>71</v>
      </c>
      <c r="C53" s="106" t="s">
        <v>72</v>
      </c>
      <c r="D53" s="107" t="s">
        <v>210</v>
      </c>
      <c r="E53" s="188">
        <f>'Budget - uden udstyr'!G12*(SUM('Budget - uden udstyr'!L16:L25,'Budget - uden udstyr'!L32:L34,'Budget - uden udstyr'!L37:L39)*Kostpriser!$I$40)-SUM('Grønt budgetark'!F53:I53)</f>
        <v>0</v>
      </c>
      <c r="F53" s="188">
        <f>(SUM(F24:F31)+F21)*Kostpriser!$I$40</f>
        <v>0</v>
      </c>
      <c r="G53" s="188">
        <f>(SUM(G24:G31)+G21)*Kostpriser!$I$40</f>
        <v>0</v>
      </c>
      <c r="H53" s="188">
        <f>(SUM(H24:H31)+H21)*Kostpriser!$I$40</f>
        <v>0</v>
      </c>
      <c r="I53" s="188">
        <f>(SUM(I24:I31)+I21)*Kostpriser!$I$40</f>
        <v>0</v>
      </c>
      <c r="J53" s="104">
        <f>(SUM(J24:J31)+J21)*Kostpriser!$I$40</f>
        <v>0</v>
      </c>
      <c r="K53" s="104">
        <f>(SUM(K24:K31)+K21)*Kostpriser!$I$40</f>
        <v>0</v>
      </c>
      <c r="L53" s="104">
        <f>(SUM(L24:L31)+L21)*Kostpriser!$I$40</f>
        <v>0</v>
      </c>
      <c r="M53" s="104">
        <f>(SUM(M24:M31)+M21)*Kostpriser!$I$40</f>
        <v>0</v>
      </c>
      <c r="N53" s="104">
        <f>(SUM(N24:N31)+N21)*Kostpriser!$I$40</f>
        <v>0</v>
      </c>
      <c r="O53" s="105">
        <f>SUM(E53:N53)</f>
        <v>0</v>
      </c>
      <c r="P53" s="87"/>
      <c r="Q53" s="87"/>
      <c r="R53" s="87"/>
    </row>
    <row r="54" spans="1:18" x14ac:dyDescent="0.25">
      <c r="B54" s="83" t="s">
        <v>71</v>
      </c>
      <c r="C54" s="106" t="s">
        <v>73</v>
      </c>
      <c r="D54" s="107" t="s">
        <v>210</v>
      </c>
      <c r="E54" s="188">
        <f>'Budget - uden udstyr'!G12*(SUM('Budget - uden udstyr'!L27,'Budget - uden udstyr'!L29,'Budget - uden udstyr'!L44:L53)*(Kostpriser!$I$41))-SUM(F54:I54)</f>
        <v>0</v>
      </c>
      <c r="F54" s="188">
        <f>(SUM('Grønt budgetark'!F41:F49)+F22+F23)*(Kostpriser!$I$41)</f>
        <v>0</v>
      </c>
      <c r="G54" s="188">
        <f>(SUM('Grønt budgetark'!G41:G49)+G22+G23)*(Kostpriser!$I$41)</f>
        <v>0</v>
      </c>
      <c r="H54" s="188">
        <f>(SUM('Grønt budgetark'!H41:H49)+H22+H23)*(Kostpriser!$I$41)</f>
        <v>0</v>
      </c>
      <c r="I54" s="188">
        <f>(SUM('Grønt budgetark'!I41:I49)+I22+I23)*(Kostpriser!$I$41)</f>
        <v>0</v>
      </c>
      <c r="J54" s="104">
        <f>(SUM('Grønt budgetark'!J41:J49)+J22+J23)*(Kostpriser!$I$41)</f>
        <v>0</v>
      </c>
      <c r="K54" s="104">
        <f>(SUM('Grønt budgetark'!K41:K49)+K22+K23)*(Kostpriser!$I$41)</f>
        <v>0</v>
      </c>
      <c r="L54" s="104">
        <f>(SUM('Grønt budgetark'!L41:L49)+L22+L23)*(Kostpriser!$I$41)</f>
        <v>0</v>
      </c>
      <c r="M54" s="104">
        <f>(SUM('Grønt budgetark'!M41:M49)+M22+M23)*(Kostpriser!$I$41)</f>
        <v>0</v>
      </c>
      <c r="N54" s="104">
        <f>(SUM('Grønt budgetark'!N41:N49)+N22+N23)*(Kostpriser!$I$41)</f>
        <v>0</v>
      </c>
      <c r="O54" s="105">
        <f>SUM(E54:N54)</f>
        <v>0</v>
      </c>
      <c r="P54" s="87"/>
      <c r="Q54" s="87"/>
      <c r="R54" s="87"/>
    </row>
    <row r="55" spans="1:18" ht="4.5" customHeight="1" x14ac:dyDescent="0.25">
      <c r="A55" s="71" t="s">
        <v>170</v>
      </c>
      <c r="B55" s="84"/>
      <c r="C55" s="109"/>
      <c r="D55" s="110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4"/>
      <c r="P55" s="87"/>
      <c r="Q55" s="87"/>
      <c r="R55" s="87"/>
    </row>
    <row r="56" spans="1:18" ht="17.25" customHeight="1" thickBot="1" x14ac:dyDescent="0.3">
      <c r="A56" s="71" t="s">
        <v>0</v>
      </c>
      <c r="B56" s="85" t="s">
        <v>48</v>
      </c>
      <c r="C56" s="86"/>
      <c r="D56" s="79"/>
      <c r="E56" s="102">
        <f>SUM(E21:E54)</f>
        <v>0</v>
      </c>
      <c r="F56" s="102">
        <f>SUM(F21:F55)</f>
        <v>0</v>
      </c>
      <c r="G56" s="102">
        <f>SUM(G21:G55)</f>
        <v>0</v>
      </c>
      <c r="H56" s="102">
        <f t="shared" ref="H56:N56" si="3">SUM(H21:H55)</f>
        <v>0</v>
      </c>
      <c r="I56" s="102">
        <f t="shared" si="3"/>
        <v>0</v>
      </c>
      <c r="J56" s="102">
        <f t="shared" si="3"/>
        <v>0</v>
      </c>
      <c r="K56" s="102">
        <f t="shared" si="3"/>
        <v>0</v>
      </c>
      <c r="L56" s="102">
        <f t="shared" si="3"/>
        <v>0</v>
      </c>
      <c r="M56" s="102">
        <f t="shared" si="3"/>
        <v>0</v>
      </c>
      <c r="N56" s="102">
        <f t="shared" si="3"/>
        <v>0</v>
      </c>
      <c r="O56" s="103">
        <f>SUM(E56:N56)</f>
        <v>0</v>
      </c>
      <c r="Q56" s="87"/>
      <c r="R56" s="87"/>
    </row>
    <row r="57" spans="1:18" x14ac:dyDescent="0.25">
      <c r="E57" s="425" t="str">
        <f>IF(O56='Budget - uden udstyr'!F70,"","Totalen stemmer ikke med det beløb der skal budgetteres. Differencen er:")</f>
        <v/>
      </c>
      <c r="F57" s="426"/>
      <c r="G57" s="426"/>
      <c r="H57" s="426"/>
      <c r="I57" s="426"/>
      <c r="J57" s="96"/>
      <c r="K57" s="96"/>
      <c r="L57" s="96"/>
      <c r="M57" s="96"/>
      <c r="N57" s="96"/>
      <c r="O57" s="97" t="str">
        <f>IF(O56='Budget - uden udstyr'!F70,"",'Budget - uden udstyr'!F70-'Grønt budgetark'!O56)</f>
        <v/>
      </c>
      <c r="Q57" s="95"/>
      <c r="R57" s="87"/>
    </row>
    <row r="58" spans="1:18" x14ac:dyDescent="0.25">
      <c r="P58" s="87"/>
      <c r="Q58" s="87"/>
      <c r="R58" s="87"/>
    </row>
    <row r="59" spans="1:18" ht="15.75" x14ac:dyDescent="0.25">
      <c r="B59" s="29"/>
    </row>
  </sheetData>
  <sheetProtection algorithmName="SHA-512" hashValue="Oy740s6VHhl4q8vgtMDc1nrz/+HtlajoAErElhWrxHc1fNlQX5R5jgl6sZtRdLfFa/Q3+qedgUkVSVZN1AniSw==" saltValue="7NIZVLV3dTcK860POpzvpw==" spinCount="100000" sheet="1" selectLockedCells="1"/>
  <mergeCells count="6">
    <mergeCell ref="B16:C16"/>
    <mergeCell ref="E57:I57"/>
    <mergeCell ref="B2:C2"/>
    <mergeCell ref="B4:C4"/>
    <mergeCell ref="B17:O17"/>
    <mergeCell ref="B19:O20"/>
  </mergeCells>
  <phoneticPr fontId="33" type="noConversion"/>
  <pageMargins left="0.7" right="0.7" top="0.75" bottom="0.75" header="0.3" footer="0.3"/>
  <pageSetup paperSize="9" orientation="portrait" r:id="rId1"/>
  <ignoredErrors>
    <ignoredError sqref="O29:O32" formulaRange="1"/>
    <ignoredError sqref="D21:D24 D29:D52 B21:B54 D25:D28" numberStoredAsText="1"/>
    <ignoredError sqref="F54:O54 F53:O5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E49C508C-2190-453C-812E-F04B2EF17B50}">
            <xm:f>'Budget - uden udstyr'!$F$70</xm:f>
            <x14:dxf>
              <font>
                <b/>
                <i val="0"/>
                <color rgb="FFC00000"/>
              </font>
            </x14:dxf>
          </x14:cfRule>
          <x14:cfRule type="cellIs" priority="2" operator="lessThan" id="{7B911E64-E977-4EBE-B5F8-D205567F96FB}">
            <xm:f>'Budget - uden udstyr'!$F$70</xm:f>
            <x14:dxf>
              <font>
                <b/>
                <i val="0"/>
                <color rgb="FFC00000"/>
              </font>
            </x14:dxf>
          </x14:cfRule>
          <x14:cfRule type="expression" priority="3" id="{C559A767-30B0-41ED-86B9-5A3BAD94F845}">
            <xm:f>'Budget - uden udstyr'!$F$70</xm:f>
            <x14:dxf>
              <font>
                <b/>
                <i val="0"/>
                <strike val="0"/>
              </font>
            </x14:dxf>
          </x14:cfRule>
          <xm:sqref>O56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36A1-692C-4D7E-ABFF-03AB43748C58}">
  <sheetPr codeName="Ark3">
    <tabColor theme="3" tint="0.79998168889431442"/>
  </sheetPr>
  <dimension ref="A1:H38"/>
  <sheetViews>
    <sheetView zoomScaleNormal="100" workbookViewId="0">
      <selection activeCell="B17" sqref="B17"/>
    </sheetView>
  </sheetViews>
  <sheetFormatPr defaultRowHeight="15" x14ac:dyDescent="0.25"/>
  <cols>
    <col min="1" max="1" width="0.85546875" customWidth="1"/>
    <col min="2" max="2" width="59.85546875" customWidth="1"/>
    <col min="3" max="3" width="34.7109375" customWidth="1"/>
    <col min="4" max="4" width="21.140625" customWidth="1"/>
    <col min="5" max="5" width="24.85546875" customWidth="1"/>
    <col min="6" max="6" width="28.42578125" customWidth="1"/>
    <col min="7" max="7" width="21.5703125" customWidth="1"/>
    <col min="8" max="8" width="11.5703125" bestFit="1" customWidth="1"/>
  </cols>
  <sheetData>
    <row r="1" spans="1:8" ht="4.5" customHeight="1" thickBot="1" x14ac:dyDescent="0.3"/>
    <row r="2" spans="1:8" ht="36.75" thickBot="1" x14ac:dyDescent="0.3">
      <c r="B2" s="440" t="s">
        <v>176</v>
      </c>
      <c r="C2" s="441"/>
    </row>
    <row r="3" spans="1:8" x14ac:dyDescent="0.25">
      <c r="B3" s="128" t="s">
        <v>46</v>
      </c>
      <c r="C3" s="129">
        <f>('Budget - uden udstyr'!L16+'Budget - uden udstyr'!L17+'Budget - uden udstyr'!L18+'Budget - uden udstyr'!L19+'Budget - uden udstyr'!L20+'Budget - uden udstyr'!L21+'Budget - uden udstyr'!L22+'Budget - uden udstyr'!L23+'Budget - uden udstyr'!L24+'Budget - uden udstyr'!L25+'Budget - uden udstyr'!L27+'Budget - uden udstyr'!L29+'Budget - uden udstyr'!L32+'Budget - uden udstyr'!L33+'Budget - uden udstyr'!L34)*'Budget - uden udstyr'!G12</f>
        <v>0</v>
      </c>
    </row>
    <row r="4" spans="1:8" x14ac:dyDescent="0.25">
      <c r="B4" s="130" t="s">
        <v>47</v>
      </c>
      <c r="C4" s="131">
        <f>('Budget - uden udstyr'!L37+'Budget - uden udstyr'!L38+'Budget - uden udstyr'!L39+'Budget - uden udstyr'!L41+'Budget - uden udstyr'!L44+'Budget - uden udstyr'!L45+'Budget - uden udstyr'!L46+'Budget - uden udstyr'!L47+'Budget - uden udstyr'!L48+'Budget - uden udstyr'!L49+'Budget - uden udstyr'!L50+'Budget - uden udstyr'!L52+'Budget - uden udstyr'!L53)*'Budget - uden udstyr'!G12</f>
        <v>0</v>
      </c>
    </row>
    <row r="5" spans="1:8" x14ac:dyDescent="0.25">
      <c r="B5" s="130" t="s">
        <v>182</v>
      </c>
      <c r="C5" s="131">
        <f>'Budget - uden udstyr'!L59*'Budget - uden udstyr'!G12</f>
        <v>0</v>
      </c>
    </row>
    <row r="6" spans="1:8" x14ac:dyDescent="0.25">
      <c r="B6" s="164" t="s">
        <v>49</v>
      </c>
      <c r="C6" s="131">
        <f>'Budget - uden udstyr'!L70</f>
        <v>0</v>
      </c>
    </row>
    <row r="7" spans="1:8" x14ac:dyDescent="0.25">
      <c r="B7" s="163" t="s">
        <v>48</v>
      </c>
      <c r="C7" s="127">
        <f>SUM(C3:C6)</f>
        <v>0</v>
      </c>
    </row>
    <row r="8" spans="1:8" ht="3" customHeight="1" x14ac:dyDescent="0.25">
      <c r="B8" s="132"/>
      <c r="C8" s="133"/>
    </row>
    <row r="9" spans="1:8" ht="15.75" customHeight="1" thickBot="1" x14ac:dyDescent="0.3">
      <c r="B9" s="144" t="s">
        <v>207</v>
      </c>
      <c r="C9" s="162">
        <f>0.2*(C3+C4)</f>
        <v>0</v>
      </c>
      <c r="D9" s="126"/>
      <c r="E9" s="126"/>
    </row>
    <row r="10" spans="1:8" ht="7.5" customHeight="1" thickBot="1" x14ac:dyDescent="0.3">
      <c r="F10" s="124"/>
      <c r="G10" s="125"/>
      <c r="H10" s="98"/>
    </row>
    <row r="11" spans="1:8" ht="36.75" thickBot="1" x14ac:dyDescent="0.3">
      <c r="B11" s="442" t="s">
        <v>51</v>
      </c>
      <c r="C11" s="443"/>
      <c r="D11" s="443"/>
      <c r="E11" s="444"/>
    </row>
    <row r="12" spans="1:8" ht="4.5" customHeight="1" thickBot="1" x14ac:dyDescent="0.3">
      <c r="B12" s="150"/>
      <c r="C12" s="1"/>
      <c r="D12" s="1"/>
      <c r="E12" s="151"/>
    </row>
    <row r="13" spans="1:8" ht="15.75" x14ac:dyDescent="0.25">
      <c r="B13" s="447" t="s">
        <v>175</v>
      </c>
      <c r="C13" s="448"/>
      <c r="D13" s="448"/>
      <c r="E13" s="449"/>
    </row>
    <row r="14" spans="1:8" x14ac:dyDescent="0.25">
      <c r="B14" s="450" t="s">
        <v>52</v>
      </c>
      <c r="C14" s="451"/>
      <c r="D14" s="142"/>
      <c r="E14" s="143">
        <f>C6-C9</f>
        <v>0</v>
      </c>
      <c r="G14" s="135"/>
    </row>
    <row r="15" spans="1:8" ht="3" customHeight="1" x14ac:dyDescent="0.25">
      <c r="B15" s="147"/>
      <c r="C15" s="4"/>
      <c r="D15" s="148"/>
      <c r="E15" s="149"/>
      <c r="G15" s="135"/>
    </row>
    <row r="16" spans="1:8" x14ac:dyDescent="0.25">
      <c r="A16" s="199"/>
      <c r="B16" s="266" t="s">
        <v>214</v>
      </c>
      <c r="C16" s="266"/>
      <c r="D16" s="267" t="s">
        <v>46</v>
      </c>
      <c r="E16" s="268">
        <f>+SUM($E$26:$E$35)</f>
        <v>0</v>
      </c>
      <c r="G16" s="134"/>
    </row>
    <row r="17" spans="1:7" ht="15.75" thickBot="1" x14ac:dyDescent="0.3">
      <c r="A17" s="199"/>
      <c r="B17" s="202" t="s">
        <v>204</v>
      </c>
      <c r="C17" s="201" t="s">
        <v>53</v>
      </c>
      <c r="D17" s="258" t="s">
        <v>46</v>
      </c>
      <c r="E17" s="203">
        <v>0</v>
      </c>
      <c r="G17" s="134"/>
    </row>
    <row r="18" spans="1:7" ht="15.75" thickBot="1" x14ac:dyDescent="0.3">
      <c r="A18" s="199"/>
      <c r="B18" s="198" t="s">
        <v>205</v>
      </c>
      <c r="C18" s="197" t="s">
        <v>54</v>
      </c>
      <c r="D18" s="259" t="s">
        <v>47</v>
      </c>
      <c r="E18" s="200">
        <v>0</v>
      </c>
      <c r="G18" s="134"/>
    </row>
    <row r="19" spans="1:7" ht="15.75" thickBot="1" x14ac:dyDescent="0.3">
      <c r="A19" s="199"/>
      <c r="B19" s="198" t="s">
        <v>206</v>
      </c>
      <c r="C19" s="197"/>
      <c r="D19" s="259" t="s">
        <v>46</v>
      </c>
      <c r="E19" s="200">
        <v>0</v>
      </c>
      <c r="G19" s="134"/>
    </row>
    <row r="20" spans="1:7" ht="15.75" thickBot="1" x14ac:dyDescent="0.3">
      <c r="A20" s="199"/>
      <c r="B20" s="198"/>
      <c r="C20" s="197"/>
      <c r="D20" s="259"/>
      <c r="E20" s="200">
        <v>0</v>
      </c>
    </row>
    <row r="21" spans="1:7" ht="15.75" thickBot="1" x14ac:dyDescent="0.3">
      <c r="A21" s="199"/>
      <c r="B21" s="198"/>
      <c r="C21" s="197"/>
      <c r="D21" s="259"/>
      <c r="E21" s="200">
        <v>0</v>
      </c>
    </row>
    <row r="22" spans="1:7" ht="15.75" thickBot="1" x14ac:dyDescent="0.3">
      <c r="B22" s="211" t="s">
        <v>55</v>
      </c>
      <c r="C22" s="158"/>
      <c r="D22" s="146"/>
      <c r="E22" s="212">
        <f>+E14-SUM(E16:E21)</f>
        <v>0</v>
      </c>
    </row>
    <row r="23" spans="1:7" ht="4.5" customHeight="1" thickBot="1" x14ac:dyDescent="0.3">
      <c r="B23" s="1"/>
      <c r="C23" s="1"/>
      <c r="D23" s="1"/>
      <c r="E23" s="1"/>
    </row>
    <row r="24" spans="1:7" ht="15.75" customHeight="1" thickBot="1" x14ac:dyDescent="0.3">
      <c r="B24" s="434" t="s">
        <v>173</v>
      </c>
      <c r="C24" s="445"/>
      <c r="D24" s="445"/>
      <c r="E24" s="446"/>
    </row>
    <row r="25" spans="1:7" ht="15.75" customHeight="1" thickBot="1" x14ac:dyDescent="0.3">
      <c r="B25" s="136" t="s">
        <v>212</v>
      </c>
      <c r="C25" s="137" t="s">
        <v>3</v>
      </c>
      <c r="D25" s="145" t="s">
        <v>174</v>
      </c>
      <c r="E25" s="138" t="s">
        <v>50</v>
      </c>
    </row>
    <row r="26" spans="1:7" ht="15.75" customHeight="1" x14ac:dyDescent="0.25">
      <c r="B26" s="165" t="str">
        <f>IF('Budget - uden udstyr'!E16="Vælg titel…","",'Budget - uden udstyr'!E16)</f>
        <v>Vælg stillingskategori…</v>
      </c>
      <c r="C26" s="159" t="str">
        <f>IF('Budget - uden udstyr'!G16=0,"",'Budget - uden udstyr'!G16)</f>
        <v>[Indtast navn]</v>
      </c>
      <c r="D26" s="189"/>
      <c r="E26" s="139">
        <f>D26*'Budget - uden udstyr'!K16</f>
        <v>0</v>
      </c>
    </row>
    <row r="27" spans="1:7" ht="15.75" customHeight="1" x14ac:dyDescent="0.25">
      <c r="B27" s="166" t="str">
        <f>IF('Budget - uden udstyr'!E17="Vælg titel…","",'Budget - uden udstyr'!E17)</f>
        <v>Vælg stillingskategori…</v>
      </c>
      <c r="C27" s="160" t="str">
        <f>IF('Budget - uden udstyr'!G17=0,"",'Budget - uden udstyr'!G17)</f>
        <v/>
      </c>
      <c r="D27" s="190"/>
      <c r="E27" s="140">
        <f>D27*'Budget - uden udstyr'!K17</f>
        <v>0</v>
      </c>
    </row>
    <row r="28" spans="1:7" ht="15.75" customHeight="1" x14ac:dyDescent="0.25">
      <c r="B28" s="166" t="str">
        <f>IF('Budget - uden udstyr'!E18="Vælg titel…","",'Budget - uden udstyr'!E18)</f>
        <v>Vælg stillingskategori…</v>
      </c>
      <c r="C28" s="160" t="str">
        <f>IF('Budget - uden udstyr'!G18=0,"",'Budget - uden udstyr'!G18)</f>
        <v/>
      </c>
      <c r="D28" s="190"/>
      <c r="E28" s="140">
        <f>D28*'Budget - uden udstyr'!K18</f>
        <v>0</v>
      </c>
    </row>
    <row r="29" spans="1:7" ht="15.75" customHeight="1" x14ac:dyDescent="0.25">
      <c r="B29" s="166" t="str">
        <f>IF('Budget - uden udstyr'!E19="Vælg titel…","",'Budget - uden udstyr'!E19)</f>
        <v>Vælg stillingskategori…</v>
      </c>
      <c r="C29" s="160" t="str">
        <f>IF('Budget - uden udstyr'!G19=0,"",'Budget - uden udstyr'!G19)</f>
        <v/>
      </c>
      <c r="D29" s="190"/>
      <c r="E29" s="140">
        <f>D29*'Budget - uden udstyr'!K19</f>
        <v>0</v>
      </c>
    </row>
    <row r="30" spans="1:7" ht="15.75" customHeight="1" x14ac:dyDescent="0.25">
      <c r="B30" s="166" t="str">
        <f>IF('Budget - uden udstyr'!E20="Vælg titel…","",'Budget - uden udstyr'!E20)</f>
        <v>Vælg stillingskategori…</v>
      </c>
      <c r="C30" s="160" t="str">
        <f>IF('Budget - uden udstyr'!G20=0,"",'Budget - uden udstyr'!G20)</f>
        <v/>
      </c>
      <c r="D30" s="190"/>
      <c r="E30" s="140">
        <f>D30*'Budget - uden udstyr'!K20</f>
        <v>0</v>
      </c>
    </row>
    <row r="31" spans="1:7" ht="15.75" customHeight="1" x14ac:dyDescent="0.25">
      <c r="B31" s="166" t="str">
        <f>IF('Budget - uden udstyr'!E21="Vælg titel…","",'Budget - uden udstyr'!E21)</f>
        <v>Vælg stillingskategori…</v>
      </c>
      <c r="C31" s="160" t="str">
        <f>IF('Budget - uden udstyr'!G21=0,"",'Budget - uden udstyr'!G21)</f>
        <v/>
      </c>
      <c r="D31" s="190"/>
      <c r="E31" s="140">
        <f>D31*'Budget - uden udstyr'!K21</f>
        <v>0</v>
      </c>
    </row>
    <row r="32" spans="1:7" ht="15.75" customHeight="1" x14ac:dyDescent="0.25">
      <c r="B32" s="166" t="str">
        <f>IF('Budget - uden udstyr'!E22="Vælg titel…","",'Budget - uden udstyr'!E22)</f>
        <v>Vælg stillingskategori…</v>
      </c>
      <c r="C32" s="160" t="str">
        <f>IF('Budget - uden udstyr'!G22=0,"",'Budget - uden udstyr'!G22)</f>
        <v/>
      </c>
      <c r="D32" s="190"/>
      <c r="E32" s="140">
        <f>D32*'Budget - uden udstyr'!K22</f>
        <v>0</v>
      </c>
    </row>
    <row r="33" spans="2:5" ht="15.75" customHeight="1" x14ac:dyDescent="0.25">
      <c r="B33" s="166" t="str">
        <f>IF('Budget - uden udstyr'!E23="Vælg titel…","",'Budget - uden udstyr'!E23)</f>
        <v>Vælg stillingskategori…</v>
      </c>
      <c r="C33" s="160" t="str">
        <f>IF('Budget - uden udstyr'!G23=0,"",'Budget - uden udstyr'!G23)</f>
        <v/>
      </c>
      <c r="D33" s="190"/>
      <c r="E33" s="140">
        <f>D33*'Budget - uden udstyr'!K23</f>
        <v>0</v>
      </c>
    </row>
    <row r="34" spans="2:5" ht="15.75" customHeight="1" x14ac:dyDescent="0.25">
      <c r="B34" s="166" t="str">
        <f>IF('Budget - uden udstyr'!E24="Vælg titel…","",'Budget - uden udstyr'!E24)</f>
        <v>Vælg stillingskategori…</v>
      </c>
      <c r="C34" s="160" t="str">
        <f>IF('Budget - uden udstyr'!G24=0,"",'Budget - uden udstyr'!G24)</f>
        <v/>
      </c>
      <c r="D34" s="190"/>
      <c r="E34" s="140">
        <f>D34*'Budget - uden udstyr'!K24</f>
        <v>0</v>
      </c>
    </row>
    <row r="35" spans="2:5" ht="15.75" customHeight="1" thickBot="1" x14ac:dyDescent="0.3">
      <c r="B35" s="167" t="str">
        <f>IF('Budget - uden udstyr'!E25="Vælg titel…","",'Budget - uden udstyr'!E25)</f>
        <v>Vælg stillingskategori…</v>
      </c>
      <c r="C35" s="161" t="str">
        <f>IF('Budget - uden udstyr'!G25=0,"",'Budget - uden udstyr'!G25)</f>
        <v/>
      </c>
      <c r="D35" s="191"/>
      <c r="E35" s="141">
        <f>D35*'Budget - uden udstyr'!K25</f>
        <v>0</v>
      </c>
    </row>
    <row r="36" spans="2:5" ht="9" customHeight="1" thickBot="1" x14ac:dyDescent="0.3">
      <c r="B36" s="1"/>
      <c r="C36" s="1"/>
      <c r="D36" s="1"/>
      <c r="E36" s="1"/>
    </row>
    <row r="37" spans="2:5" ht="16.5" thickBot="1" x14ac:dyDescent="0.3">
      <c r="B37" s="434" t="s">
        <v>215</v>
      </c>
      <c r="C37" s="435"/>
      <c r="D37" s="435"/>
      <c r="E37" s="436"/>
    </row>
    <row r="38" spans="2:5" ht="50.25" customHeight="1" thickBot="1" x14ac:dyDescent="0.3">
      <c r="B38" s="437"/>
      <c r="C38" s="438"/>
      <c r="D38" s="438"/>
      <c r="E38" s="439"/>
    </row>
  </sheetData>
  <sheetProtection algorithmName="SHA-512" hashValue="jOSz2VPb3cJokmaSeByMzNQVY8xXJKaCNynp0dmoQ8dFVH//gYYi+esDhiHhFMgOYMCEXw8PvKh9x4AioXSWrA==" saltValue="vfUC+XpERcODb22sphQPeA==" spinCount="100000" sheet="1" selectLockedCells="1"/>
  <mergeCells count="7">
    <mergeCell ref="B37:E37"/>
    <mergeCell ref="B38:E38"/>
    <mergeCell ref="B2:C2"/>
    <mergeCell ref="B11:E11"/>
    <mergeCell ref="B24:E24"/>
    <mergeCell ref="B13:E13"/>
    <mergeCell ref="B14:C14"/>
  </mergeCells>
  <conditionalFormatting sqref="B6">
    <cfRule type="expression" dxfId="3" priority="1">
      <formula>"($F$68&lt;O)"</formula>
    </cfRule>
  </conditionalFormatting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797-EC78-4845-9B39-B94B22922ABB}">
  <sheetPr codeName="Ark4">
    <tabColor theme="2" tint="-0.249977111117893"/>
  </sheetPr>
  <dimension ref="A1:Q49"/>
  <sheetViews>
    <sheetView topLeftCell="G1" workbookViewId="0">
      <selection activeCell="H14" sqref="H14"/>
    </sheetView>
  </sheetViews>
  <sheetFormatPr defaultRowHeight="15" x14ac:dyDescent="0.25"/>
  <cols>
    <col min="1" max="1" width="39.5703125" hidden="1" customWidth="1"/>
    <col min="2" max="2" width="14.140625" hidden="1" customWidth="1"/>
    <col min="3" max="3" width="6" hidden="1" customWidth="1"/>
    <col min="4" max="4" width="8.42578125" hidden="1" customWidth="1"/>
    <col min="5" max="5" width="27.85546875" hidden="1" customWidth="1"/>
    <col min="6" max="6" width="32" hidden="1" customWidth="1"/>
    <col min="7" max="7" width="0.85546875" customWidth="1"/>
    <col min="8" max="8" width="41.5703125" customWidth="1"/>
    <col min="9" max="9" width="9.42578125" customWidth="1"/>
    <col min="10" max="10" width="0.85546875" customWidth="1"/>
    <col min="11" max="11" width="12" customWidth="1"/>
    <col min="12" max="12" width="51.140625" bestFit="1" customWidth="1"/>
    <col min="13" max="13" width="40.28515625" customWidth="1"/>
    <col min="14" max="14" width="12.140625" customWidth="1"/>
  </cols>
  <sheetData>
    <row r="1" spans="1:14" ht="4.5" customHeight="1" thickBot="1" x14ac:dyDescent="0.3"/>
    <row r="2" spans="1:14" ht="19.5" thickBot="1" x14ac:dyDescent="0.35">
      <c r="H2" s="452" t="s">
        <v>74</v>
      </c>
      <c r="I2" s="454"/>
      <c r="J2" s="454"/>
      <c r="K2" s="455"/>
      <c r="N2" s="173" t="s">
        <v>6</v>
      </c>
    </row>
    <row r="3" spans="1:14" ht="30" x14ac:dyDescent="0.25">
      <c r="A3" s="30" t="s">
        <v>75</v>
      </c>
      <c r="B3" s="31" t="s">
        <v>76</v>
      </c>
      <c r="C3" s="31" t="s">
        <v>77</v>
      </c>
      <c r="D3" s="31" t="s">
        <v>78</v>
      </c>
      <c r="E3" s="31" t="s">
        <v>79</v>
      </c>
      <c r="F3" s="32" t="s">
        <v>80</v>
      </c>
      <c r="H3" s="456" t="s">
        <v>177</v>
      </c>
      <c r="I3" s="458" t="s">
        <v>81</v>
      </c>
      <c r="J3" s="113"/>
      <c r="K3" s="112" t="s">
        <v>82</v>
      </c>
      <c r="L3" s="111"/>
      <c r="N3" s="173">
        <v>1</v>
      </c>
    </row>
    <row r="4" spans="1:14" ht="15.75" thickBot="1" x14ac:dyDescent="0.3">
      <c r="A4" s="34" t="s">
        <v>83</v>
      </c>
      <c r="B4" s="35" t="s">
        <v>45</v>
      </c>
      <c r="C4" s="35" t="s">
        <v>45</v>
      </c>
      <c r="D4" s="35" t="s">
        <v>45</v>
      </c>
      <c r="E4" s="35" t="s">
        <v>45</v>
      </c>
      <c r="F4" s="36" t="s">
        <v>45</v>
      </c>
      <c r="H4" s="457"/>
      <c r="I4" s="459"/>
      <c r="J4" s="114"/>
      <c r="K4" s="123">
        <f>I40</f>
        <v>1.2</v>
      </c>
      <c r="N4" s="173">
        <v>2</v>
      </c>
    </row>
    <row r="5" spans="1:14" ht="15.75" thickBot="1" x14ac:dyDescent="0.3">
      <c r="A5" s="34" t="s">
        <v>84</v>
      </c>
      <c r="B5" s="39">
        <v>5798000423190</v>
      </c>
      <c r="C5" s="40">
        <v>59000</v>
      </c>
      <c r="D5" s="40" t="s">
        <v>85</v>
      </c>
      <c r="E5" s="40" t="s">
        <v>86</v>
      </c>
      <c r="F5" s="41" t="s">
        <v>87</v>
      </c>
      <c r="H5" s="42" t="s">
        <v>213</v>
      </c>
      <c r="I5" s="43">
        <v>0</v>
      </c>
      <c r="J5" s="115"/>
      <c r="K5" s="43">
        <f>CEILING(I5+(I5*($K$4)),1)</f>
        <v>0</v>
      </c>
      <c r="N5" s="173">
        <v>3</v>
      </c>
    </row>
    <row r="6" spans="1:14" ht="15.75" thickBot="1" x14ac:dyDescent="0.3">
      <c r="A6" s="34" t="s">
        <v>88</v>
      </c>
      <c r="B6" s="39">
        <v>5798000423190</v>
      </c>
      <c r="C6" s="40">
        <v>59100</v>
      </c>
      <c r="D6" s="40" t="s">
        <v>89</v>
      </c>
      <c r="E6" s="40" t="s">
        <v>90</v>
      </c>
      <c r="F6" s="41" t="s">
        <v>87</v>
      </c>
      <c r="H6" s="168" t="s">
        <v>118</v>
      </c>
      <c r="I6" s="460">
        <v>645</v>
      </c>
      <c r="J6" s="115"/>
      <c r="K6" s="152">
        <f>CEILING(I6+(I6*($K$4)),1)</f>
        <v>1419</v>
      </c>
      <c r="N6" s="173">
        <v>4</v>
      </c>
    </row>
    <row r="7" spans="1:14" ht="16.5" customHeight="1" thickBot="1" x14ac:dyDescent="0.3">
      <c r="A7" s="34" t="s">
        <v>92</v>
      </c>
      <c r="B7" s="39">
        <v>5798000423237</v>
      </c>
      <c r="C7" s="40">
        <v>52400</v>
      </c>
      <c r="D7" s="40" t="s">
        <v>93</v>
      </c>
      <c r="E7" s="40" t="s">
        <v>94</v>
      </c>
      <c r="F7" s="41" t="s">
        <v>95</v>
      </c>
      <c r="H7" s="168" t="s">
        <v>100</v>
      </c>
      <c r="I7" s="462">
        <v>479</v>
      </c>
      <c r="J7" s="115"/>
      <c r="K7" s="152">
        <f>CEILING(I7+(I7*($K$4)),1)</f>
        <v>1054</v>
      </c>
      <c r="N7" s="173">
        <v>6</v>
      </c>
    </row>
    <row r="8" spans="1:14" ht="15.75" thickBot="1" x14ac:dyDescent="0.3">
      <c r="A8" s="34" t="s">
        <v>96</v>
      </c>
      <c r="B8" s="39">
        <v>5798000423251</v>
      </c>
      <c r="C8" s="40">
        <v>52600</v>
      </c>
      <c r="D8" s="40" t="s">
        <v>97</v>
      </c>
      <c r="E8" s="40" t="s">
        <v>98</v>
      </c>
      <c r="F8" s="41" t="s">
        <v>99</v>
      </c>
      <c r="H8" s="168" t="s">
        <v>91</v>
      </c>
      <c r="I8" s="462">
        <v>387</v>
      </c>
      <c r="J8" s="115"/>
      <c r="K8" s="153">
        <f>CEILING(I8+(I8*($K$4)),1)</f>
        <v>852</v>
      </c>
      <c r="L8" s="169"/>
      <c r="N8" s="173">
        <v>7</v>
      </c>
    </row>
    <row r="9" spans="1:14" ht="15.75" thickBot="1" x14ac:dyDescent="0.3">
      <c r="A9" s="34" t="s">
        <v>101</v>
      </c>
      <c r="B9" s="39">
        <v>5798000423268</v>
      </c>
      <c r="C9" s="40">
        <v>52700</v>
      </c>
      <c r="D9" s="40" t="s">
        <v>102</v>
      </c>
      <c r="E9" s="40" t="s">
        <v>103</v>
      </c>
      <c r="F9" s="41" t="s">
        <v>104</v>
      </c>
      <c r="H9" s="168" t="s">
        <v>113</v>
      </c>
      <c r="I9" s="463">
        <v>387</v>
      </c>
      <c r="J9" s="115"/>
      <c r="K9" s="153">
        <f>CEILING(I9+(I9*($K$4)),1)</f>
        <v>852</v>
      </c>
      <c r="L9" s="169"/>
      <c r="N9" s="173">
        <v>8</v>
      </c>
    </row>
    <row r="10" spans="1:14" ht="15.75" thickBot="1" x14ac:dyDescent="0.3">
      <c r="A10" s="34" t="s">
        <v>105</v>
      </c>
      <c r="B10" s="39">
        <v>5798000423251</v>
      </c>
      <c r="C10" s="40">
        <v>53000</v>
      </c>
      <c r="D10" s="40" t="s">
        <v>106</v>
      </c>
      <c r="E10" s="40" t="s">
        <v>107</v>
      </c>
      <c r="F10" s="41" t="s">
        <v>108</v>
      </c>
      <c r="H10" s="168" t="s">
        <v>121</v>
      </c>
      <c r="I10" s="463">
        <v>350</v>
      </c>
      <c r="J10" s="115"/>
      <c r="K10" s="152">
        <f>CEILING(I10+(I10*($K$4)),1)</f>
        <v>770</v>
      </c>
      <c r="L10" s="169"/>
      <c r="N10" s="173">
        <v>9</v>
      </c>
    </row>
    <row r="11" spans="1:14" ht="15.75" thickBot="1" x14ac:dyDescent="0.3">
      <c r="A11" s="34" t="s">
        <v>109</v>
      </c>
      <c r="B11" s="39">
        <v>5798000423305</v>
      </c>
      <c r="C11" s="40">
        <v>55500</v>
      </c>
      <c r="D11" s="40" t="s">
        <v>110</v>
      </c>
      <c r="E11" s="40" t="s">
        <v>111</v>
      </c>
      <c r="F11" s="41" t="s">
        <v>112</v>
      </c>
      <c r="H11" s="168" t="s">
        <v>178</v>
      </c>
      <c r="I11" s="462">
        <v>319</v>
      </c>
      <c r="J11" s="115"/>
      <c r="K11" s="152">
        <f>CEILING(I11+(I11*($K$4)),1)</f>
        <v>702</v>
      </c>
      <c r="N11" s="173">
        <v>10</v>
      </c>
    </row>
    <row r="12" spans="1:14" ht="15.75" thickBot="1" x14ac:dyDescent="0.3">
      <c r="A12" s="45" t="s">
        <v>114</v>
      </c>
      <c r="B12" s="46">
        <v>5798000423312</v>
      </c>
      <c r="C12" s="47">
        <v>55600</v>
      </c>
      <c r="D12" s="47" t="s">
        <v>115</v>
      </c>
      <c r="E12" s="47" t="s">
        <v>116</v>
      </c>
      <c r="F12" s="48" t="s">
        <v>117</v>
      </c>
      <c r="H12" s="168" t="s">
        <v>179</v>
      </c>
      <c r="I12" s="463">
        <v>332</v>
      </c>
      <c r="J12" s="115"/>
      <c r="K12" s="154">
        <f>CEILING(I12+(I12*($K$4)),1)</f>
        <v>731</v>
      </c>
    </row>
    <row r="13" spans="1:14" ht="15.75" thickBot="1" x14ac:dyDescent="0.3">
      <c r="A13" s="49" t="s">
        <v>120</v>
      </c>
      <c r="B13" s="38">
        <v>1.17</v>
      </c>
      <c r="H13" s="168" t="s">
        <v>185</v>
      </c>
      <c r="I13" s="461">
        <v>381</v>
      </c>
      <c r="J13" s="115"/>
      <c r="K13" s="154">
        <f>CEILING(I13+(I13*($K$4)),1)</f>
        <v>839</v>
      </c>
      <c r="M13" s="171"/>
    </row>
    <row r="14" spans="1:14" ht="15.75" thickBot="1" x14ac:dyDescent="0.3">
      <c r="B14" s="50"/>
      <c r="C14" s="50"/>
      <c r="D14" s="50"/>
      <c r="E14" s="51"/>
      <c r="H14" s="271" t="s">
        <v>184</v>
      </c>
      <c r="I14" s="464">
        <v>0</v>
      </c>
      <c r="J14" s="115"/>
      <c r="K14" s="153">
        <f>CEILING(I14+(I14*($K$4)),1)</f>
        <v>0</v>
      </c>
    </row>
    <row r="15" spans="1:14" ht="15.75" thickBot="1" x14ac:dyDescent="0.3">
      <c r="B15" s="50"/>
      <c r="C15" s="50"/>
      <c r="D15" s="50"/>
      <c r="E15" s="51"/>
      <c r="H15" s="271" t="s">
        <v>184</v>
      </c>
      <c r="I15" s="464">
        <v>0</v>
      </c>
      <c r="J15" s="115"/>
      <c r="K15" s="153">
        <f>CEILING(I15+(I15*($K$4)),1)</f>
        <v>0</v>
      </c>
    </row>
    <row r="16" spans="1:14" ht="15.75" thickBot="1" x14ac:dyDescent="0.3">
      <c r="A16" s="52"/>
      <c r="B16" s="50"/>
      <c r="C16" s="50"/>
      <c r="D16" s="50"/>
      <c r="E16" s="51"/>
      <c r="H16" s="272" t="s">
        <v>184</v>
      </c>
      <c r="I16" s="275">
        <v>0</v>
      </c>
      <c r="J16" s="116"/>
      <c r="K16" s="53">
        <f>CEILING(I16+(I16*($K$4)),1)</f>
        <v>0</v>
      </c>
      <c r="M16" s="171"/>
    </row>
    <row r="17" spans="8:14" ht="15.75" thickBot="1" x14ac:dyDescent="0.3"/>
    <row r="18" spans="8:14" ht="19.5" thickBot="1" x14ac:dyDescent="0.35">
      <c r="H18" s="452" t="s">
        <v>122</v>
      </c>
      <c r="I18" s="454"/>
      <c r="J18" s="454"/>
      <c r="K18" s="455"/>
    </row>
    <row r="19" spans="8:14" ht="31.5" customHeight="1" x14ac:dyDescent="0.25">
      <c r="H19" s="456" t="s">
        <v>177</v>
      </c>
      <c r="I19" s="458" t="s">
        <v>81</v>
      </c>
      <c r="J19" s="33"/>
      <c r="K19" s="112" t="s">
        <v>82</v>
      </c>
    </row>
    <row r="20" spans="8:14" ht="17.25" customHeight="1" thickBot="1" x14ac:dyDescent="0.3">
      <c r="H20" s="457"/>
      <c r="I20" s="459"/>
      <c r="J20" s="37"/>
      <c r="K20" s="123">
        <f>I40</f>
        <v>1.2</v>
      </c>
    </row>
    <row r="21" spans="8:14" ht="15.75" thickBot="1" x14ac:dyDescent="0.3">
      <c r="H21" s="42" t="s">
        <v>213</v>
      </c>
      <c r="I21" s="43">
        <v>0</v>
      </c>
      <c r="J21" s="44"/>
      <c r="K21" s="43">
        <f>CEILING(I21+(I21*($K$20)),1)</f>
        <v>0</v>
      </c>
      <c r="M21" s="171"/>
    </row>
    <row r="22" spans="8:14" ht="15.75" thickBot="1" x14ac:dyDescent="0.3">
      <c r="H22" s="168" t="s">
        <v>26</v>
      </c>
      <c r="I22" s="460">
        <v>528</v>
      </c>
      <c r="J22" s="44"/>
      <c r="K22" s="155">
        <f>CEILING(I22+(I22*($K$20)),1)</f>
        <v>1162</v>
      </c>
    </row>
    <row r="23" spans="8:14" ht="15.75" thickBot="1" x14ac:dyDescent="0.3">
      <c r="H23" s="168" t="s">
        <v>119</v>
      </c>
      <c r="I23" s="461">
        <v>461</v>
      </c>
      <c r="J23" s="44"/>
      <c r="K23" s="155">
        <f>CEILING(I23+(I23*($K$20)),1)</f>
        <v>1015</v>
      </c>
    </row>
    <row r="24" spans="8:14" ht="15.75" thickBot="1" x14ac:dyDescent="0.3">
      <c r="H24" s="168" t="s">
        <v>14</v>
      </c>
      <c r="I24" s="463">
        <v>393</v>
      </c>
      <c r="J24" s="44"/>
      <c r="K24" s="155">
        <f>CEILING(I24+(I24*($K$20)),1)</f>
        <v>865</v>
      </c>
    </row>
    <row r="25" spans="8:14" ht="15.75" thickBot="1" x14ac:dyDescent="0.3">
      <c r="H25" s="168" t="s">
        <v>123</v>
      </c>
      <c r="I25" s="463">
        <v>356</v>
      </c>
      <c r="J25" s="44"/>
      <c r="K25" s="155">
        <f>CEILING(I25+(I25*($K$20)),1)</f>
        <v>784</v>
      </c>
    </row>
    <row r="26" spans="8:14" ht="15.75" thickBot="1" x14ac:dyDescent="0.3">
      <c r="H26" s="168" t="s">
        <v>124</v>
      </c>
      <c r="I26" s="463">
        <v>344</v>
      </c>
      <c r="J26" s="44"/>
      <c r="K26" s="155">
        <f>CEILING(I26+(I26*($K$20)),1)</f>
        <v>757</v>
      </c>
    </row>
    <row r="27" spans="8:14" ht="15.75" thickBot="1" x14ac:dyDescent="0.3">
      <c r="H27" s="168" t="s">
        <v>125</v>
      </c>
      <c r="I27" s="463">
        <v>184</v>
      </c>
      <c r="J27" s="54"/>
      <c r="K27" s="155">
        <f t="shared" ref="K27" si="0">CEILING(I27+(I27*($K$20)),1)</f>
        <v>405</v>
      </c>
    </row>
    <row r="28" spans="8:14" ht="15.75" thickBot="1" x14ac:dyDescent="0.3">
      <c r="H28" s="271" t="s">
        <v>184</v>
      </c>
      <c r="I28" s="273">
        <v>0</v>
      </c>
      <c r="J28" s="44"/>
      <c r="K28" s="465">
        <f>CEILING(I28+(I28*($K$20)),1)</f>
        <v>0</v>
      </c>
    </row>
    <row r="29" spans="8:14" ht="15.75" thickBot="1" x14ac:dyDescent="0.3">
      <c r="H29" s="272" t="s">
        <v>184</v>
      </c>
      <c r="I29" s="274">
        <v>0</v>
      </c>
      <c r="J29" s="54"/>
      <c r="K29" s="53">
        <f>CEILING(I29+(I29*($K$20)),1)</f>
        <v>0</v>
      </c>
    </row>
    <row r="31" spans="8:14" x14ac:dyDescent="0.25">
      <c r="H31" s="55" t="s">
        <v>187</v>
      </c>
    </row>
    <row r="32" spans="8:14" x14ac:dyDescent="0.25">
      <c r="H32" s="194" t="s">
        <v>186</v>
      </c>
      <c r="J32" s="196"/>
      <c r="K32" s="196"/>
      <c r="L32" s="196"/>
      <c r="N32" s="73"/>
    </row>
    <row r="33" spans="8:17" x14ac:dyDescent="0.25">
      <c r="M33" s="73"/>
    </row>
    <row r="34" spans="8:17" x14ac:dyDescent="0.25">
      <c r="H34" t="s">
        <v>188</v>
      </c>
      <c r="M34" s="73"/>
    </row>
    <row r="35" spans="8:17" x14ac:dyDescent="0.25">
      <c r="H35" s="195" t="s">
        <v>180</v>
      </c>
      <c r="M35" s="196"/>
    </row>
    <row r="36" spans="8:17" x14ac:dyDescent="0.25">
      <c r="M36" s="73"/>
    </row>
    <row r="37" spans="8:17" x14ac:dyDescent="0.25">
      <c r="H37" s="56" t="s">
        <v>126</v>
      </c>
    </row>
    <row r="38" spans="8:17" ht="15.75" thickBot="1" x14ac:dyDescent="0.3"/>
    <row r="39" spans="8:17" ht="19.5" thickBot="1" x14ac:dyDescent="0.35">
      <c r="H39" s="452" t="s">
        <v>2</v>
      </c>
      <c r="I39" s="453"/>
      <c r="J39" s="117"/>
    </row>
    <row r="40" spans="8:17" x14ac:dyDescent="0.25">
      <c r="H40" s="118" t="s">
        <v>171</v>
      </c>
      <c r="I40" s="121">
        <v>1.2</v>
      </c>
    </row>
    <row r="41" spans="8:17" ht="15.75" thickBot="1" x14ac:dyDescent="0.3">
      <c r="H41" s="119" t="s">
        <v>172</v>
      </c>
      <c r="I41" s="122">
        <v>0.1</v>
      </c>
    </row>
    <row r="42" spans="8:17" ht="15.75" thickBot="1" x14ac:dyDescent="0.3">
      <c r="M42" s="170"/>
    </row>
    <row r="43" spans="8:17" ht="19.5" thickBot="1" x14ac:dyDescent="0.35">
      <c r="H43" s="120" t="s">
        <v>143</v>
      </c>
      <c r="M43" s="169"/>
    </row>
    <row r="44" spans="8:17" ht="15.75" thickBot="1" x14ac:dyDescent="0.3">
      <c r="H44" s="156" t="s">
        <v>144</v>
      </c>
      <c r="M44" s="169"/>
      <c r="Q44" s="170"/>
    </row>
    <row r="45" spans="8:17" ht="15.75" thickBot="1" x14ac:dyDescent="0.3">
      <c r="H45" s="157" t="s">
        <v>153</v>
      </c>
      <c r="M45" s="169"/>
    </row>
    <row r="46" spans="8:17" ht="15.75" thickBot="1" x14ac:dyDescent="0.3">
      <c r="H46" s="157" t="s">
        <v>154</v>
      </c>
      <c r="M46" s="169"/>
    </row>
    <row r="47" spans="8:17" ht="15.75" thickBot="1" x14ac:dyDescent="0.3">
      <c r="H47" s="157" t="s">
        <v>155</v>
      </c>
      <c r="M47" s="169"/>
    </row>
    <row r="48" spans="8:17" ht="15.75" thickBot="1" x14ac:dyDescent="0.3">
      <c r="H48" s="157" t="s">
        <v>156</v>
      </c>
      <c r="M48" s="169"/>
    </row>
    <row r="49" spans="8:13" ht="15.75" thickBot="1" x14ac:dyDescent="0.3">
      <c r="H49" s="172" t="s">
        <v>190</v>
      </c>
      <c r="M49" s="169"/>
    </row>
  </sheetData>
  <sheetProtection algorithmName="SHA-512" hashValue="etD7W2wvU37k79ONLH5kTLqSmDtW5SDuBSPSBk4Q2VO3jlgK9bIiU1W8cWdYsqnn3ZbOvXCkEODWX562Z9TB2g==" saltValue="aDrcQ+6abkw+2KS8b0S1eA==" spinCount="100000" sheet="1" selectLockedCells="1"/>
  <mergeCells count="7">
    <mergeCell ref="H39:I39"/>
    <mergeCell ref="H2:K2"/>
    <mergeCell ref="H3:H4"/>
    <mergeCell ref="I3:I4"/>
    <mergeCell ref="H18:K18"/>
    <mergeCell ref="H19:H20"/>
    <mergeCell ref="I19:I20"/>
  </mergeCells>
  <conditionalFormatting sqref="B13">
    <cfRule type="cellIs" dxfId="2" priority="7" operator="equal">
      <formula>117%</formula>
    </cfRule>
    <cfRule type="cellIs" dxfId="1" priority="8" operator="greaterThan">
      <formula>117%</formula>
    </cfRule>
    <cfRule type="cellIs" dxfId="0" priority="9" operator="lessThan">
      <formula>117%</formula>
    </cfRule>
  </conditionalFormatting>
  <hyperlinks>
    <hyperlink ref="H32" r:id="rId1" xr:uid="{7CE08900-7547-4CC3-B005-96204D7CB0BF}"/>
    <hyperlink ref="H35" r:id="rId2" xr:uid="{C5EA505C-1521-4E32-AA56-B66605AD075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D A A B Q S w M E F A A C A A g A L m / O V l 3 l 7 A + m A A A A 9 g A A A B I A H A B D b 2 5 m a W c v U G F j a 2 F n Z S 5 4 b W w g o h g A K K A U A A A A A A A A A A A A A A A A A A A A A A A A A A A A h Y + x D o I w G I R f h X S n L U U T Q 3 7 K o J u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U T T H b B Z j C m Q y I d f m C 7 B x 7 z P 9 M W H Z 1 6 7 v F C 9 E u F o D m S S Q 9 w f + A F B L A w Q U A A I A C A A u b 8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/ O V j D R Q S O s A A A A 7 g A A A B M A H A B G b 3 J t d W x h c y 9 T Z W N 0 a W 9 u M S 5 t I K I Y A C i g F A A A A A A A A A A A A A A A A A A A A A A A A A A A A G 2 N s Q q D M B C G d y H v E N J F I Q h 2 F S f p J H S p 0 E E c o l 6 p G O 9 K E s E i r n 2 x v l i D Q q H Q W w 7 u + 7 / 7 L b S u J + S X f S c p C 1 h g 7 8 p A x 0 v V g E 5 4 x j U 4 F n A / R a 8 7 8 I f T 3 I K O 8 8 k Y Q H c l M z R E Q x g t 1 V m N k I l d F P V a 5 Y T O R 2 q 5 + w f x f m F n w H H 3 f I D w n 3 x U Q 1 w a h f Z G Z s x J T y O W H t p w K 5 P L I g r S h A i J k J v G H c x u l f w L j j 9 g j V j Q 4 9 + + 9 A N Q S w E C L Q A U A A I A C A A u b 8 5 W X e X s D 6 Y A A A D 2 A A A A E g A A A A A A A A A A A A A A A A A A A A A A Q 2 9 u Z m l n L 1 B h Y 2 t h Z 2 U u e G 1 s U E s B A i 0 A F A A C A A g A L m / O V g / K 6 a u k A A A A 6 Q A A A B M A A A A A A A A A A A A A A A A A 8 g A A A F t D b 2 5 0 Z W 5 0 X 1 R 5 c G V z X S 5 4 b W x Q S w E C L Q A U A A I A C A A u b 8 5 W M N F B I 6 w A A A D u A A A A E w A A A A A A A A A A A A A A A A D j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C A A A A A A A A D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0 V D E x O j U 1 O j M y L j g w O D M 1 N D F a I i A v P j x F b n R y e S B U e X B l P S J G a W x s Q 2 9 s d W 1 u V H l w Z X M i I F Z h b H V l P S J z Q m d Z P S I g L z 4 8 R W 5 0 c n k g V H l w Z T 0 i R m l s b E N v b H V t b k 5 h b W V z I i B W Y W x 1 Z T 0 i c 1 s m c X V v d D t L b 2 x v b m 5 l M S Z x d W 9 0 O y w m c X V v d D t L b 2 x v b m 5 l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m 5 l M S w w f S Z x d W 9 0 O y w m c X V v d D t T Z W N 0 a W 9 u M S 9 U Y W J l b D E v Q X V 0 b 1 J l b W 9 2 Z W R D b 2 x 1 b W 5 z M S 5 7 S 2 9 s b 2 5 u Z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u b m U x L D B 9 J n F 1 b 3 Q 7 L C Z x d W 9 0 O 1 N l Y 3 R p b 2 4 x L 1 R h Y m V s M S 9 B d X R v U m V t b 3 Z l Z E N v b H V t b n M x L n t L b 2 x v b m 5 l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M Y e m i 9 Z V r Q o R w g D U x 9 l u 0 A A A A A A I A A A A A A A N m A A D A A A A A E A A A A P w I s 1 p d v B f / h v 7 A z S q P t S Y A A A A A B I A A A K A A A A A Q A A A A J m y Y I z q Z B u Q C v U K Y p Y D 6 g V A A A A B D c l s A Y m E A D q 8 F G N 4 d 2 H a e m K 1 a q o S n / m X T A V X 6 9 W X q T 6 o 4 A 4 9 s e Z 9 7 S p q Y 6 V g l j L K 4 u 3 6 C 8 c J M S s 4 n F C i N L J x V N N 6 E G m 0 q C j W 3 N l i x H 2 r T 1 B Q A A A A 6 6 X 0 V 4 H R l A K d y 4 3 o a B Z 8 R K z 1 v 7 Q = = < / D a t a M a s h u p > 
</file>

<file path=customXml/itemProps1.xml><?xml version="1.0" encoding="utf-8"?>
<ds:datastoreItem xmlns:ds="http://schemas.openxmlformats.org/officeDocument/2006/customXml" ds:itemID="{419BFE97-B0F9-4980-A91D-49E01130B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Budget - uden udstyr</vt:lpstr>
      <vt:lpstr>Grønt budgetark</vt:lpstr>
      <vt:lpstr>Intern økonomi</vt:lpstr>
      <vt:lpstr>Kostpriser</vt:lpstr>
    </vt:vector>
  </TitlesOfParts>
  <Company>Syddansk Unversitet - University of Southern Denmark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</dc:creator>
  <cp:lastModifiedBy>Alice Rarup Lund</cp:lastModifiedBy>
  <cp:lastPrinted>2025-06-25T10:27:36Z</cp:lastPrinted>
  <dcterms:created xsi:type="dcterms:W3CDTF">2010-04-15T07:56:04Z</dcterms:created>
  <dcterms:modified xsi:type="dcterms:W3CDTF">2026-07-01T12:52:41Z</dcterms:modified>
</cp:coreProperties>
</file>